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teco365.sharepoint.com/sites/AltecAIRSales/Shared Documents/Arena - Antenna/"/>
    </mc:Choice>
  </mc:AlternateContent>
  <xr:revisionPtr revIDLastSave="58" documentId="8_{A9D5354A-FBD9-4A40-A1D5-38D539BDBFBF}" xr6:coauthVersionLast="47" xr6:coauthVersionMax="47" xr10:uidLastSave="{CEEFE0A8-8311-4658-B7DC-66DA1ED6FA08}"/>
  <bookViews>
    <workbookView xWindow="3150" yWindow="1020" windowWidth="21600" windowHeight="11385" tabRatio="814" activeTab="1" xr2:uid="{E8D5FBEB-B31A-48F2-A92D-DFBF66E35BE0}"/>
  </bookViews>
  <sheets>
    <sheet name="BD Dehydrator Sizing-Imperial" sheetId="1" r:id="rId1"/>
    <sheet name="BD Dehydrator Sizing-Metric " sheetId="7" r:id="rId2"/>
    <sheet name="Revision Log" sheetId="5" state="hidden" r:id="rId3"/>
    <sheet name="Sheet1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7" l="1"/>
  <c r="F5" i="7" s="1"/>
  <c r="B12" i="9"/>
  <c r="B14" i="9"/>
  <c r="B15" i="9"/>
  <c r="B4" i="9"/>
  <c r="B5" i="9"/>
  <c r="B6" i="9"/>
  <c r="B7" i="9"/>
  <c r="B3" i="9"/>
  <c r="B11" i="9"/>
  <c r="B13" i="9"/>
  <c r="S30" i="7"/>
  <c r="O44" i="1"/>
  <c r="O34" i="1"/>
  <c r="O36" i="1"/>
  <c r="O41" i="1"/>
  <c r="O42" i="1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31" i="7"/>
  <c r="D33" i="7"/>
  <c r="D34" i="7"/>
  <c r="D35" i="7"/>
  <c r="D36" i="7"/>
  <c r="D37" i="7"/>
  <c r="D38" i="7"/>
  <c r="O38" i="7" s="1"/>
  <c r="D39" i="7"/>
  <c r="D40" i="7"/>
  <c r="O40" i="7" s="1"/>
  <c r="D41" i="7"/>
  <c r="D42" i="7"/>
  <c r="D43" i="7"/>
  <c r="D44" i="7"/>
  <c r="D45" i="7"/>
  <c r="O45" i="7" s="1"/>
  <c r="D46" i="7"/>
  <c r="O46" i="7" s="1"/>
  <c r="D47" i="7"/>
  <c r="D32" i="7"/>
  <c r="O32" i="7" s="1"/>
  <c r="D31" i="7"/>
  <c r="O31" i="7" s="1"/>
  <c r="O47" i="7"/>
  <c r="O44" i="7"/>
  <c r="O43" i="7"/>
  <c r="O42" i="7"/>
  <c r="O41" i="7"/>
  <c r="O39" i="7"/>
  <c r="O37" i="7"/>
  <c r="O36" i="7"/>
  <c r="O35" i="7"/>
  <c r="O34" i="7"/>
  <c r="O33" i="7"/>
  <c r="Q30" i="1"/>
  <c r="C30" i="1" s="1"/>
  <c r="O32" i="1"/>
  <c r="O33" i="1"/>
  <c r="O35" i="1"/>
  <c r="O37" i="1"/>
  <c r="O38" i="1"/>
  <c r="O39" i="1"/>
  <c r="O40" i="1"/>
  <c r="O43" i="1"/>
  <c r="O45" i="1"/>
  <c r="O46" i="1"/>
  <c r="O47" i="1"/>
  <c r="O31" i="1"/>
  <c r="D30" i="7"/>
  <c r="O30" i="7" s="1"/>
  <c r="Q30" i="7"/>
  <c r="R30" i="7" s="1"/>
  <c r="C30" i="7" s="1"/>
  <c r="S29" i="7"/>
  <c r="D29" i="7" s="1"/>
  <c r="O29" i="7" s="1"/>
  <c r="Q29" i="7"/>
  <c r="R29" i="7" s="1"/>
  <c r="C29" i="7" s="1"/>
  <c r="S28" i="7"/>
  <c r="D28" i="7" s="1"/>
  <c r="O28" i="7" s="1"/>
  <c r="Q28" i="7"/>
  <c r="R28" i="7" s="1"/>
  <c r="C28" i="7" s="1"/>
  <c r="S27" i="7"/>
  <c r="D27" i="7" s="1"/>
  <c r="O27" i="7" s="1"/>
  <c r="Q27" i="7"/>
  <c r="R27" i="7" s="1"/>
  <c r="C27" i="7" s="1"/>
  <c r="S26" i="7"/>
  <c r="D26" i="7" s="1"/>
  <c r="O26" i="7" s="1"/>
  <c r="Q26" i="7"/>
  <c r="R26" i="7" s="1"/>
  <c r="C26" i="7" s="1"/>
  <c r="S25" i="7"/>
  <c r="D25" i="7" s="1"/>
  <c r="O25" i="7" s="1"/>
  <c r="Q25" i="7"/>
  <c r="R25" i="7" s="1"/>
  <c r="C25" i="7" s="1"/>
  <c r="S24" i="7"/>
  <c r="D24" i="7" s="1"/>
  <c r="O24" i="7" s="1"/>
  <c r="Q24" i="7"/>
  <c r="R24" i="7" s="1"/>
  <c r="C24" i="7" s="1"/>
  <c r="S23" i="7"/>
  <c r="D23" i="7" s="1"/>
  <c r="O23" i="7" s="1"/>
  <c r="Q23" i="7"/>
  <c r="R23" i="7" s="1"/>
  <c r="C23" i="7" s="1"/>
  <c r="S22" i="7"/>
  <c r="D22" i="7" s="1"/>
  <c r="O22" i="7" s="1"/>
  <c r="Q22" i="7"/>
  <c r="R22" i="7" s="1"/>
  <c r="C22" i="7" s="1"/>
  <c r="S21" i="7"/>
  <c r="D21" i="7" s="1"/>
  <c r="O21" i="7" s="1"/>
  <c r="Q21" i="7"/>
  <c r="R21" i="7" s="1"/>
  <c r="C21" i="7" s="1"/>
  <c r="S20" i="7"/>
  <c r="D20" i="7" s="1"/>
  <c r="O20" i="7" s="1"/>
  <c r="Q20" i="7"/>
  <c r="R20" i="7" s="1"/>
  <c r="C20" i="7" s="1"/>
  <c r="S19" i="7"/>
  <c r="D19" i="7" s="1"/>
  <c r="O19" i="7" s="1"/>
  <c r="Q19" i="7"/>
  <c r="R19" i="7" s="1"/>
  <c r="C19" i="7" s="1"/>
  <c r="S18" i="7"/>
  <c r="D18" i="7" s="1"/>
  <c r="O18" i="7" s="1"/>
  <c r="Q18" i="7"/>
  <c r="R18" i="7" s="1"/>
  <c r="C18" i="7" s="1"/>
  <c r="S17" i="7"/>
  <c r="D17" i="7" s="1"/>
  <c r="O17" i="7" s="1"/>
  <c r="Q17" i="7"/>
  <c r="R17" i="7" s="1"/>
  <c r="C17" i="7" s="1"/>
  <c r="S16" i="7"/>
  <c r="D16" i="7" s="1"/>
  <c r="O16" i="7" s="1"/>
  <c r="Q16" i="7"/>
  <c r="R16" i="7" s="1"/>
  <c r="C16" i="7" s="1"/>
  <c r="S15" i="7"/>
  <c r="D15" i="7" s="1"/>
  <c r="O15" i="7" s="1"/>
  <c r="Q15" i="7"/>
  <c r="R15" i="7" s="1"/>
  <c r="C15" i="7" s="1"/>
  <c r="S14" i="7"/>
  <c r="D14" i="7" s="1"/>
  <c r="O14" i="7" s="1"/>
  <c r="Q14" i="7"/>
  <c r="R14" i="7" s="1"/>
  <c r="C14" i="7" s="1"/>
  <c r="S13" i="7"/>
  <c r="D13" i="7" s="1"/>
  <c r="O13" i="7" s="1"/>
  <c r="Q13" i="7"/>
  <c r="R13" i="7" s="1"/>
  <c r="C13" i="7" s="1"/>
  <c r="S12" i="7"/>
  <c r="D12" i="7" s="1"/>
  <c r="O12" i="7" s="1"/>
  <c r="Q12" i="7"/>
  <c r="R12" i="7" s="1"/>
  <c r="C12" i="7" s="1"/>
  <c r="S11" i="7"/>
  <c r="D11" i="7" s="1"/>
  <c r="O11" i="7" s="1"/>
  <c r="Q11" i="7"/>
  <c r="R11" i="7" s="1"/>
  <c r="C11" i="7" s="1"/>
  <c r="S10" i="7"/>
  <c r="D10" i="7" s="1"/>
  <c r="O10" i="7" s="1"/>
  <c r="Q10" i="7"/>
  <c r="R10" i="7" s="1"/>
  <c r="C10" i="7" s="1"/>
  <c r="I3" i="7"/>
  <c r="H3" i="7"/>
  <c r="G3" i="7"/>
  <c r="F3" i="7"/>
  <c r="E3" i="7"/>
  <c r="E5" i="7" l="1"/>
  <c r="I5" i="7"/>
  <c r="I6" i="7" s="1"/>
  <c r="I7" i="7" s="1"/>
  <c r="H5" i="7"/>
  <c r="H6" i="7" s="1"/>
  <c r="H7" i="7" s="1"/>
  <c r="G5" i="7"/>
  <c r="G6" i="7" s="1"/>
  <c r="G7" i="7" s="1"/>
  <c r="E6" i="7"/>
  <c r="E7" i="7" s="1"/>
  <c r="E34" i="7" s="1"/>
  <c r="B5" i="1"/>
  <c r="F5" i="1" s="1"/>
  <c r="O48" i="7"/>
  <c r="F6" i="7"/>
  <c r="F7" i="7" s="1"/>
  <c r="F37" i="7" s="1"/>
  <c r="E20" i="7" l="1"/>
  <c r="E31" i="7"/>
  <c r="E22" i="7"/>
  <c r="E35" i="7"/>
  <c r="E17" i="7"/>
  <c r="E26" i="7"/>
  <c r="E13" i="7"/>
  <c r="E16" i="7"/>
  <c r="G38" i="7"/>
  <c r="G44" i="7"/>
  <c r="G45" i="7"/>
  <c r="G34" i="7"/>
  <c r="G13" i="7"/>
  <c r="G17" i="7"/>
  <c r="G26" i="7"/>
  <c r="G10" i="7"/>
  <c r="G18" i="7"/>
  <c r="G39" i="7"/>
  <c r="G42" i="7"/>
  <c r="G46" i="7"/>
  <c r="G19" i="7"/>
  <c r="G30" i="7"/>
  <c r="G35" i="7"/>
  <c r="G14" i="7"/>
  <c r="G47" i="7"/>
  <c r="G36" i="7"/>
  <c r="G28" i="7"/>
  <c r="G12" i="7"/>
  <c r="G23" i="7"/>
  <c r="G41" i="7"/>
  <c r="G21" i="7"/>
  <c r="G25" i="7"/>
  <c r="G16" i="7"/>
  <c r="G43" i="7"/>
  <c r="G29" i="7"/>
  <c r="G33" i="7"/>
  <c r="G27" i="7"/>
  <c r="G11" i="7"/>
  <c r="G22" i="7"/>
  <c r="G32" i="7"/>
  <c r="G31" i="7"/>
  <c r="G40" i="7"/>
  <c r="G37" i="7"/>
  <c r="G20" i="7"/>
  <c r="G24" i="7"/>
  <c r="G15" i="7"/>
  <c r="H47" i="7"/>
  <c r="H31" i="7"/>
  <c r="H12" i="7"/>
  <c r="H27" i="7"/>
  <c r="H17" i="7"/>
  <c r="H42" i="7"/>
  <c r="H45" i="7"/>
  <c r="H34" i="7"/>
  <c r="H29" i="7"/>
  <c r="H16" i="7"/>
  <c r="H11" i="7"/>
  <c r="H19" i="7"/>
  <c r="H15" i="7"/>
  <c r="H14" i="7"/>
  <c r="H35" i="7"/>
  <c r="H40" i="7"/>
  <c r="H23" i="7"/>
  <c r="H10" i="7"/>
  <c r="H18" i="7"/>
  <c r="H26" i="7"/>
  <c r="H30" i="7"/>
  <c r="H25" i="7"/>
  <c r="H36" i="7"/>
  <c r="H46" i="7"/>
  <c r="H41" i="7"/>
  <c r="H24" i="7"/>
  <c r="H22" i="7"/>
  <c r="H43" i="7"/>
  <c r="H37" i="7"/>
  <c r="H13" i="7"/>
  <c r="H21" i="7"/>
  <c r="H20" i="7"/>
  <c r="H28" i="7"/>
  <c r="H38" i="7"/>
  <c r="I35" i="7"/>
  <c r="I33" i="7"/>
  <c r="I31" i="7"/>
  <c r="I38" i="7"/>
  <c r="I30" i="7"/>
  <c r="I24" i="7"/>
  <c r="I15" i="7"/>
  <c r="I47" i="7"/>
  <c r="I11" i="7"/>
  <c r="I39" i="7"/>
  <c r="I43" i="7"/>
  <c r="I32" i="7"/>
  <c r="I14" i="7"/>
  <c r="I22" i="7"/>
  <c r="I28" i="7"/>
  <c r="I46" i="7"/>
  <c r="I21" i="7"/>
  <c r="I29" i="7"/>
  <c r="I40" i="7"/>
  <c r="I27" i="7"/>
  <c r="I44" i="7"/>
  <c r="I13" i="7"/>
  <c r="I34" i="7"/>
  <c r="I12" i="7"/>
  <c r="I20" i="7"/>
  <c r="I37" i="7"/>
  <c r="I19" i="7"/>
  <c r="I45" i="7"/>
  <c r="I42" i="7"/>
  <c r="I41" i="7"/>
  <c r="I10" i="7"/>
  <c r="I18" i="7"/>
  <c r="I26" i="7"/>
  <c r="I16" i="7"/>
  <c r="I23" i="7"/>
  <c r="I36" i="7"/>
  <c r="I17" i="7"/>
  <c r="I25" i="7"/>
  <c r="E46" i="7"/>
  <c r="E33" i="7"/>
  <c r="E11" i="7"/>
  <c r="E28" i="7"/>
  <c r="H32" i="7"/>
  <c r="H39" i="7"/>
  <c r="H44" i="7"/>
  <c r="H33" i="7"/>
  <c r="E29" i="7"/>
  <c r="E24" i="7"/>
  <c r="E27" i="7"/>
  <c r="E36" i="7"/>
  <c r="E39" i="7"/>
  <c r="E40" i="7"/>
  <c r="E32" i="7"/>
  <c r="E23" i="7"/>
  <c r="E10" i="7"/>
  <c r="E18" i="7"/>
  <c r="E12" i="7"/>
  <c r="E30" i="7"/>
  <c r="E25" i="7"/>
  <c r="E19" i="7"/>
  <c r="E41" i="7"/>
  <c r="E42" i="7"/>
  <c r="E44" i="7"/>
  <c r="E14" i="7"/>
  <c r="E45" i="7"/>
  <c r="E47" i="7"/>
  <c r="E38" i="7"/>
  <c r="E21" i="7"/>
  <c r="E15" i="7"/>
  <c r="E37" i="7"/>
  <c r="E43" i="7"/>
  <c r="I5" i="1"/>
  <c r="E5" i="1"/>
  <c r="H5" i="1"/>
  <c r="G5" i="1"/>
  <c r="F34" i="7"/>
  <c r="F43" i="7"/>
  <c r="F38" i="7"/>
  <c r="F46" i="7"/>
  <c r="F40" i="7"/>
  <c r="F36" i="7"/>
  <c r="F45" i="7"/>
  <c r="F31" i="7"/>
  <c r="F44" i="7"/>
  <c r="F33" i="7"/>
  <c r="F42" i="7"/>
  <c r="F35" i="7"/>
  <c r="F41" i="7"/>
  <c r="F39" i="7"/>
  <c r="F47" i="7"/>
  <c r="F32" i="7"/>
  <c r="O49" i="7"/>
  <c r="O50" i="7" s="1"/>
  <c r="F27" i="7"/>
  <c r="F20" i="7"/>
  <c r="F13" i="7"/>
  <c r="F26" i="7"/>
  <c r="F19" i="7"/>
  <c r="F12" i="7"/>
  <c r="F25" i="7"/>
  <c r="F18" i="7"/>
  <c r="F11" i="7"/>
  <c r="F24" i="7"/>
  <c r="F17" i="7"/>
  <c r="F10" i="7"/>
  <c r="F30" i="7"/>
  <c r="F23" i="7"/>
  <c r="F16" i="7"/>
  <c r="F29" i="7"/>
  <c r="F22" i="7"/>
  <c r="F15" i="7"/>
  <c r="F28" i="7"/>
  <c r="F21" i="7"/>
  <c r="F14" i="7"/>
  <c r="Q29" i="1" l="1"/>
  <c r="C29" i="1" s="1"/>
  <c r="D29" i="1" s="1"/>
  <c r="O29" i="1" s="1"/>
  <c r="Q11" i="1"/>
  <c r="C11" i="1" s="1"/>
  <c r="D11" i="1" s="1"/>
  <c r="O11" i="1" s="1"/>
  <c r="Q12" i="1"/>
  <c r="C12" i="1" s="1"/>
  <c r="D12" i="1" s="1"/>
  <c r="O12" i="1" s="1"/>
  <c r="Q13" i="1"/>
  <c r="C13" i="1" s="1"/>
  <c r="D13" i="1" s="1"/>
  <c r="O13" i="1" s="1"/>
  <c r="Q14" i="1"/>
  <c r="C14" i="1" s="1"/>
  <c r="D14" i="1" s="1"/>
  <c r="O14" i="1" s="1"/>
  <c r="Q15" i="1"/>
  <c r="C15" i="1" s="1"/>
  <c r="D15" i="1" s="1"/>
  <c r="O15" i="1" s="1"/>
  <c r="Q16" i="1"/>
  <c r="C16" i="1" s="1"/>
  <c r="D16" i="1" s="1"/>
  <c r="O16" i="1" s="1"/>
  <c r="Q17" i="1"/>
  <c r="C17" i="1" s="1"/>
  <c r="D17" i="1" s="1"/>
  <c r="O17" i="1" s="1"/>
  <c r="Q18" i="1"/>
  <c r="C18" i="1" s="1"/>
  <c r="D18" i="1" s="1"/>
  <c r="O18" i="1" s="1"/>
  <c r="Q19" i="1"/>
  <c r="C19" i="1" s="1"/>
  <c r="D19" i="1" s="1"/>
  <c r="O19" i="1" s="1"/>
  <c r="Q20" i="1"/>
  <c r="C20" i="1" s="1"/>
  <c r="D20" i="1" s="1"/>
  <c r="O20" i="1" s="1"/>
  <c r="Q21" i="1"/>
  <c r="C21" i="1" s="1"/>
  <c r="D21" i="1" s="1"/>
  <c r="O21" i="1" s="1"/>
  <c r="Q22" i="1"/>
  <c r="C22" i="1" s="1"/>
  <c r="D22" i="1" s="1"/>
  <c r="O22" i="1" s="1"/>
  <c r="Q23" i="1"/>
  <c r="C23" i="1" s="1"/>
  <c r="D23" i="1" s="1"/>
  <c r="O23" i="1" s="1"/>
  <c r="Q10" i="1"/>
  <c r="C10" i="1" s="1"/>
  <c r="D10" i="1" s="1"/>
  <c r="O10" i="1" s="1"/>
  <c r="Q24" i="1"/>
  <c r="C24" i="1" s="1"/>
  <c r="D24" i="1" s="1"/>
  <c r="O24" i="1" s="1"/>
  <c r="Q26" i="1"/>
  <c r="C26" i="1" s="1"/>
  <c r="D26" i="1" s="1"/>
  <c r="O26" i="1" s="1"/>
  <c r="Q27" i="1"/>
  <c r="C27" i="1" s="1"/>
  <c r="D27" i="1" s="1"/>
  <c r="O27" i="1" s="1"/>
  <c r="Q28" i="1"/>
  <c r="C28" i="1" s="1"/>
  <c r="D28" i="1" s="1"/>
  <c r="O28" i="1" s="1"/>
  <c r="D30" i="1"/>
  <c r="Q25" i="1"/>
  <c r="C25" i="1" s="1"/>
  <c r="D25" i="1" s="1"/>
  <c r="O25" i="1" s="1"/>
  <c r="O30" i="1" l="1"/>
  <c r="F3" i="1"/>
  <c r="I3" i="1"/>
  <c r="H3" i="1"/>
  <c r="G3" i="1"/>
  <c r="E3" i="1"/>
  <c r="H36" i="1" l="1"/>
  <c r="H44" i="1"/>
  <c r="H33" i="1"/>
  <c r="H41" i="1"/>
  <c r="H38" i="1"/>
  <c r="H46" i="1"/>
  <c r="H35" i="1"/>
  <c r="H43" i="1"/>
  <c r="H32" i="1"/>
  <c r="H40" i="1"/>
  <c r="H37" i="1"/>
  <c r="H45" i="1"/>
  <c r="H47" i="1"/>
  <c r="H31" i="1"/>
  <c r="H34" i="1"/>
  <c r="H42" i="1"/>
  <c r="H39" i="1"/>
  <c r="G33" i="1"/>
  <c r="G41" i="1"/>
  <c r="G38" i="1"/>
  <c r="G46" i="1"/>
  <c r="G37" i="1"/>
  <c r="G35" i="1"/>
  <c r="G43" i="1"/>
  <c r="G32" i="1"/>
  <c r="G40" i="1"/>
  <c r="G45" i="1"/>
  <c r="G34" i="1"/>
  <c r="G42" i="1"/>
  <c r="G36" i="1"/>
  <c r="G44" i="1"/>
  <c r="G39" i="1"/>
  <c r="G47" i="1"/>
  <c r="G31" i="1"/>
  <c r="I39" i="1"/>
  <c r="I47" i="1"/>
  <c r="I31" i="1"/>
  <c r="I35" i="1"/>
  <c r="I43" i="1"/>
  <c r="I36" i="1"/>
  <c r="I44" i="1"/>
  <c r="I33" i="1"/>
  <c r="I41" i="1"/>
  <c r="I38" i="1"/>
  <c r="I46" i="1"/>
  <c r="I32" i="1"/>
  <c r="I40" i="1"/>
  <c r="I34" i="1"/>
  <c r="I42" i="1"/>
  <c r="I37" i="1"/>
  <c r="I45" i="1"/>
  <c r="F38" i="1"/>
  <c r="F46" i="1"/>
  <c r="F35" i="1"/>
  <c r="F43" i="1"/>
  <c r="F42" i="1"/>
  <c r="F32" i="1"/>
  <c r="F40" i="1"/>
  <c r="F34" i="1"/>
  <c r="F37" i="1"/>
  <c r="F45" i="1"/>
  <c r="F39" i="1"/>
  <c r="F47" i="1"/>
  <c r="F33" i="1"/>
  <c r="F41" i="1"/>
  <c r="F36" i="1"/>
  <c r="F44" i="1"/>
  <c r="F31" i="1"/>
  <c r="O48" i="1"/>
  <c r="G30" i="1"/>
  <c r="G23" i="1"/>
  <c r="G16" i="1"/>
  <c r="G13" i="1"/>
  <c r="G29" i="1"/>
  <c r="G22" i="1"/>
  <c r="G15" i="1"/>
  <c r="G27" i="1"/>
  <c r="G28" i="1"/>
  <c r="G21" i="1"/>
  <c r="G14" i="1"/>
  <c r="G20" i="1"/>
  <c r="G26" i="1"/>
  <c r="G19" i="1"/>
  <c r="G12" i="1"/>
  <c r="G17" i="1"/>
  <c r="G25" i="1"/>
  <c r="G18" i="1"/>
  <c r="G11" i="1"/>
  <c r="G24" i="1"/>
  <c r="G10" i="1"/>
  <c r="H14" i="1"/>
  <c r="H17" i="1"/>
  <c r="H30" i="1"/>
  <c r="H23" i="1"/>
  <c r="H16" i="1"/>
  <c r="H21" i="1"/>
  <c r="H29" i="1"/>
  <c r="H22" i="1"/>
  <c r="H15" i="1"/>
  <c r="H28" i="1"/>
  <c r="H27" i="1"/>
  <c r="H20" i="1"/>
  <c r="H13" i="1"/>
  <c r="H25" i="1"/>
  <c r="H11" i="1"/>
  <c r="H24" i="1"/>
  <c r="H26" i="1"/>
  <c r="H19" i="1"/>
  <c r="H12" i="1"/>
  <c r="H18" i="1"/>
  <c r="H10" i="1"/>
  <c r="I24" i="1"/>
  <c r="I17" i="1"/>
  <c r="I10" i="1"/>
  <c r="I15" i="1"/>
  <c r="I22" i="1"/>
  <c r="I25" i="1"/>
  <c r="I30" i="1"/>
  <c r="I23" i="1"/>
  <c r="I16" i="1"/>
  <c r="I29" i="1"/>
  <c r="I11" i="1"/>
  <c r="I28" i="1"/>
  <c r="I21" i="1"/>
  <c r="I14" i="1"/>
  <c r="I19" i="1"/>
  <c r="I27" i="1"/>
  <c r="I20" i="1"/>
  <c r="I13" i="1"/>
  <c r="I26" i="1"/>
  <c r="I12" i="1"/>
  <c r="I18" i="1"/>
  <c r="F29" i="1"/>
  <c r="F22" i="1"/>
  <c r="F15" i="1"/>
  <c r="F23" i="1"/>
  <c r="F28" i="1"/>
  <c r="F21" i="1"/>
  <c r="F14" i="1"/>
  <c r="F26" i="1"/>
  <c r="F12" i="1"/>
  <c r="F27" i="1"/>
  <c r="F20" i="1"/>
  <c r="F13" i="1"/>
  <c r="F19" i="1"/>
  <c r="F25" i="1"/>
  <c r="F18" i="1"/>
  <c r="F11" i="1"/>
  <c r="F30" i="1"/>
  <c r="F24" i="1"/>
  <c r="F17" i="1"/>
  <c r="F10" i="1"/>
  <c r="F16" i="1"/>
  <c r="E35" i="1" l="1"/>
  <c r="E43" i="1"/>
  <c r="E32" i="1"/>
  <c r="E40" i="1"/>
  <c r="E39" i="1"/>
  <c r="E47" i="1"/>
  <c r="E37" i="1"/>
  <c r="E45" i="1"/>
  <c r="E34" i="1"/>
  <c r="E42" i="1"/>
  <c r="E36" i="1"/>
  <c r="E44" i="1"/>
  <c r="E31" i="1"/>
  <c r="E38" i="1"/>
  <c r="E33" i="1"/>
  <c r="E41" i="1"/>
  <c r="E46" i="1"/>
  <c r="O49" i="1"/>
  <c r="O50" i="1" s="1"/>
  <c r="E13" i="1"/>
  <c r="E20" i="1"/>
  <c r="E27" i="1"/>
  <c r="E16" i="1"/>
  <c r="E14" i="1"/>
  <c r="E21" i="1"/>
  <c r="E28" i="1"/>
  <c r="E30" i="1"/>
  <c r="E12" i="1"/>
  <c r="E15" i="1"/>
  <c r="E22" i="1"/>
  <c r="E29" i="1"/>
  <c r="E23" i="1"/>
  <c r="E19" i="1"/>
  <c r="E10" i="1"/>
  <c r="E11" i="1"/>
  <c r="E25" i="1"/>
  <c r="E26" i="1"/>
  <c r="E17" i="1"/>
  <c r="E24" i="1"/>
  <c r="E18" i="1"/>
</calcChain>
</file>

<file path=xl/sharedStrings.xml><?xml version="1.0" encoding="utf-8"?>
<sst xmlns="http://schemas.openxmlformats.org/spreadsheetml/2006/main" count="268" uniqueCount="172">
  <si>
    <t xml:space="preserve">6-1/8" Rigid Coaxial </t>
  </si>
  <si>
    <t xml:space="preserve">8-3/16" Rigid Coaxial </t>
  </si>
  <si>
    <t xml:space="preserve">Model </t>
  </si>
  <si>
    <t>Max Flow (SCFD)</t>
  </si>
  <si>
    <t>Max Volume (FT^3)</t>
  </si>
  <si>
    <t xml:space="preserve">7-3/16" Rigid Coaxial </t>
  </si>
  <si>
    <t xml:space="preserve">4-1/16" Rigid Coaxial </t>
  </si>
  <si>
    <t>Max Flow (SCFM)</t>
  </si>
  <si>
    <t xml:space="preserve">3-1/8" Rigid Coaxial </t>
  </si>
  <si>
    <t>NOTES</t>
  </si>
  <si>
    <t>DRYLINE MT050C</t>
  </si>
  <si>
    <t>FOR NOMINAL FLOW RATES LESS THAN 140 SCFD</t>
  </si>
  <si>
    <t>FOR NOMINAL FLOW RATES 140-350 SCFD</t>
  </si>
  <si>
    <t>DRYLINE MT500D</t>
  </si>
  <si>
    <t>2-5 PSI</t>
  </si>
  <si>
    <t>FOR NOMINAL FLOW RATES LESS THAN 350SCFD</t>
  </si>
  <si>
    <t>FOR NOMINAL FLOW RATES 350 - 1100 SCFD</t>
  </si>
  <si>
    <t>HR150</t>
  </si>
  <si>
    <t>.22-.7 PSI</t>
  </si>
  <si>
    <t>DIELECTRIC</t>
  </si>
  <si>
    <t>2-15 PSI</t>
  </si>
  <si>
    <t>.1- 2.0 PSI</t>
  </si>
  <si>
    <t>.1-2.0 PSI</t>
  </si>
  <si>
    <t>RFS</t>
  </si>
  <si>
    <t>APD20-D</t>
  </si>
  <si>
    <t>1-10 PSI</t>
  </si>
  <si>
    <t>APD22-D</t>
  </si>
  <si>
    <t>APD70-D</t>
  </si>
  <si>
    <t>APD72-D</t>
  </si>
  <si>
    <t>TSI</t>
  </si>
  <si>
    <t>NOTE: TO BE USED AS A GENERAL GUIDE, AS SOME OPERATING SPECS MAY BE DIFFERENT, AS WELL AS DIMENSIONS</t>
  </si>
  <si>
    <t xml:space="preserve">MANUFACTURER </t>
  </si>
  <si>
    <t>Model</t>
  </si>
  <si>
    <t>.5-15 PSI</t>
  </si>
  <si>
    <t>.5-10 PSI</t>
  </si>
  <si>
    <t>15 PSI</t>
  </si>
  <si>
    <t>VOLTAGE (VAC)</t>
  </si>
  <si>
    <t>FLOW
(SCFM)</t>
  </si>
  <si>
    <t xml:space="preserve"> EQUIVALENT  MODEL</t>
  </si>
  <si>
    <t>3U Series</t>
  </si>
  <si>
    <t>5U Series</t>
  </si>
  <si>
    <t>FS Series</t>
  </si>
  <si>
    <t>FOR ANY ADDITIONAL INFORMATION, PLEASE CONTACT YOUR ACCOUNT MANAGER</t>
  </si>
  <si>
    <t>1000 TLS</t>
  </si>
  <si>
    <t>ANDREW / COMMSCOPE</t>
  </si>
  <si>
    <t>PRESSURE  (PSI)</t>
  </si>
  <si>
    <t>300 TLS</t>
  </si>
  <si>
    <t xml:space="preserve"> FLOW
(SCFD)</t>
  </si>
  <si>
    <t>850 D</t>
  </si>
  <si>
    <t>850 C</t>
  </si>
  <si>
    <t>600 D</t>
  </si>
  <si>
    <t>600 C</t>
  </si>
  <si>
    <t>Estimated Max Length of Line (FT)</t>
  </si>
  <si>
    <t>Volume (FT^3)</t>
  </si>
  <si>
    <t>Length 4 (FT)</t>
  </si>
  <si>
    <t>Length 3 (FT)</t>
  </si>
  <si>
    <t>Length 2 (FT)</t>
  </si>
  <si>
    <t>Length 1 (FT)</t>
  </si>
  <si>
    <t xml:space="preserve">1-5/8" Rigid Coaxial  </t>
  </si>
  <si>
    <t xml:space="preserve">HCA38 | 3/8" Coaxial </t>
  </si>
  <si>
    <t xml:space="preserve">HCA12 | 1/2" Coaxial </t>
  </si>
  <si>
    <t xml:space="preserve">HCA58 | 5/8" Coaxial </t>
  </si>
  <si>
    <t xml:space="preserve">HCA78 | 7/8" Coaxial </t>
  </si>
  <si>
    <t>HCA118 | 1-1/8" Coaxial</t>
  </si>
  <si>
    <t xml:space="preserve">HCA158 | 1-5/8" Coaxial </t>
  </si>
  <si>
    <t xml:space="preserve">HCA214 | 2-1/4" Coaxial </t>
  </si>
  <si>
    <t xml:space="preserve">HCA300 | 3" Coaxial </t>
  </si>
  <si>
    <t xml:space="preserve">HCA400 | 4" Coaxial </t>
  </si>
  <si>
    <t xml:space="preserve">HCA495 | 5" Coaxial </t>
  </si>
  <si>
    <t xml:space="preserve">HCA550 | 5-1/2" Coaxial </t>
  </si>
  <si>
    <t xml:space="preserve">HCA618 | 6-1/8" Coaxial </t>
  </si>
  <si>
    <t xml:space="preserve">HCA800 | 8" Coaxial </t>
  </si>
  <si>
    <t xml:space="preserve">HCA900 | 9" Coaxial </t>
  </si>
  <si>
    <t xml:space="preserve">9-3/16" Rigid Coaxial </t>
  </si>
  <si>
    <t>Est Total Volume (FT^3)</t>
  </si>
  <si>
    <t>&lt; 81</t>
  </si>
  <si>
    <t>Quick Reference Replacement Guide (Based on MFG Flow Rates, and MFG Estimated Max Volume FT^3)</t>
  </si>
  <si>
    <t>MAX Volume (FT^3)</t>
  </si>
  <si>
    <t>Cross Area
(FT^3 / FT)</t>
  </si>
  <si>
    <t>Diameter (IN)</t>
  </si>
  <si>
    <t>BD210W Series</t>
  </si>
  <si>
    <t>BD550W Series</t>
  </si>
  <si>
    <t>BD1500W Series</t>
  </si>
  <si>
    <t>BD4200W Series</t>
  </si>
  <si>
    <t>BD8400W Series</t>
  </si>
  <si>
    <t xml:space="preserve"> </t>
  </si>
  <si>
    <t>BD210WLP</t>
  </si>
  <si>
    <t>BD550WLP</t>
  </si>
  <si>
    <t>BD1500WLP</t>
  </si>
  <si>
    <t xml:space="preserve">BD550W </t>
  </si>
  <si>
    <t>BD1500W</t>
  </si>
  <si>
    <t>BD212WLP</t>
  </si>
  <si>
    <t>BD1502W</t>
  </si>
  <si>
    <t>BD4200W</t>
  </si>
  <si>
    <t>BD4202W</t>
  </si>
  <si>
    <t>BD552W</t>
  </si>
  <si>
    <t>IF PRESSURE &lt; 7.5 PSIG, USE BD1500WLP MODEL</t>
  </si>
  <si>
    <t>IF PRESSURE &lt; 7.5 PSIG, USE BD1502WLP MODEL</t>
  </si>
  <si>
    <t>IF PRESSURE &lt; 7.5 PSIG, USE BD4200WLP MODEL</t>
  </si>
  <si>
    <t>IF PRESSURE &lt; 7.5 PSIG, USE BD4202WLP MODEL</t>
  </si>
  <si>
    <t>BD1502WLP</t>
  </si>
  <si>
    <t>BD4200WLP</t>
  </si>
  <si>
    <t xml:space="preserve">BD4200W </t>
  </si>
  <si>
    <t>Max Flow (SCMM)</t>
  </si>
  <si>
    <t>Max Flow (SCMD)</t>
  </si>
  <si>
    <t>Diameter (cm)</t>
  </si>
  <si>
    <t>Max Volume (cm^3)</t>
  </si>
  <si>
    <t>Max Volume (m^3)</t>
  </si>
  <si>
    <t>Estimated Max Length of Line (m)</t>
  </si>
  <si>
    <t>Length 1 (m)</t>
  </si>
  <si>
    <t>Length 2 (m)</t>
  </si>
  <si>
    <t>Length 3 (m)</t>
  </si>
  <si>
    <t>Length 4 (m)</t>
  </si>
  <si>
    <t xml:space="preserve">IN </t>
  </si>
  <si>
    <t>CM</t>
  </si>
  <si>
    <t>FT^3/FT</t>
  </si>
  <si>
    <t>l/m</t>
  </si>
  <si>
    <t>Cross Area
(l/m)</t>
  </si>
  <si>
    <t>Max Volume (l)</t>
  </si>
  <si>
    <t>Volume (liter)</t>
  </si>
  <si>
    <t>Est Total Volume (l)</t>
  </si>
  <si>
    <t xml:space="preserve">Added Metric Calculation.  </t>
  </si>
  <si>
    <t>Changed Max Volume of units to 35% to be conservative in estimates</t>
  </si>
  <si>
    <t xml:space="preserve">Added Estimated Hours on pump up for 0-5psig. </t>
  </si>
  <si>
    <t>JVD</t>
  </si>
  <si>
    <t xml:space="preserve">Date </t>
  </si>
  <si>
    <t xml:space="preserve">Initials </t>
  </si>
  <si>
    <t xml:space="preserve">Notes </t>
  </si>
  <si>
    <t xml:space="preserve">Est Pump Up Time (HRs) </t>
  </si>
  <si>
    <t>EST Line Pressure (PSIG)</t>
  </si>
  <si>
    <t xml:space="preserve">Est Pump-Up Time (HRs) </t>
  </si>
  <si>
    <t>Reference</t>
  </si>
  <si>
    <t>MAX Calc Run Time (HRs)</t>
  </si>
  <si>
    <t>EST Line Pressure (kPa)</t>
  </si>
  <si>
    <t>Move Quick Reference Table to Hidden Tab (Customer Version)</t>
  </si>
  <si>
    <t>Hide Diameter Column (Customer Version)</t>
  </si>
  <si>
    <t xml:space="preserve">Added Input for Required Pump Up Time. </t>
  </si>
  <si>
    <t>BD Dehydrator Calculator</t>
  </si>
  <si>
    <t>Recommended BD Dehydrator Model</t>
  </si>
  <si>
    <t>Hide Pump Up Time Reference</t>
  </si>
  <si>
    <t>Moved back to 11.25 / 35% Reference</t>
  </si>
  <si>
    <t>Dehydrator Sizing Chart</t>
  </si>
  <si>
    <r>
      <t xml:space="preserve">If sizing a Dehydrator for multiple runs, use chart below to enter up lengths of each size Transmission Line or Waveguide to calculate </t>
    </r>
    <r>
      <rPr>
        <u/>
        <sz val="10"/>
        <color theme="1"/>
        <rFont val="Calibri"/>
        <family val="2"/>
        <scheme val="minor"/>
      </rPr>
      <t>Total Volume.</t>
    </r>
    <r>
      <rPr>
        <sz val="10"/>
        <color theme="1"/>
        <rFont val="Calibri"/>
        <family val="2"/>
        <scheme val="minor"/>
      </rPr>
      <t xml:space="preserve">
**Calculator will suggest a single Dehydrator for the total volume.  
**If "N/A" may need multiple units to adequately supply pressure.</t>
    </r>
  </si>
  <si>
    <t>E 30 | Waveguide</t>
  </si>
  <si>
    <t>E 38 | Waveguide</t>
  </si>
  <si>
    <t>ES 46 | Waveguide</t>
  </si>
  <si>
    <t>E 46 | Waveguide</t>
  </si>
  <si>
    <t>E 58 | Waveguide</t>
  </si>
  <si>
    <t>E 60 | Waveguide</t>
  </si>
  <si>
    <t>E 65 | Waveguide</t>
  </si>
  <si>
    <t>E 70 | Waveguide</t>
  </si>
  <si>
    <t>E 78 | Waveguide</t>
  </si>
  <si>
    <t>E 100 | Waveguide</t>
  </si>
  <si>
    <t>E 105 | Waveguide</t>
  </si>
  <si>
    <t>E 130 | Waveguide</t>
  </si>
  <si>
    <t>E 150 | Waveguide</t>
  </si>
  <si>
    <t>E 185 | Waveguide</t>
  </si>
  <si>
    <t>E 220 | Waveguide</t>
  </si>
  <si>
    <t>E 250 | Waveguide</t>
  </si>
  <si>
    <t>E 380 | Waveguide</t>
  </si>
  <si>
    <r>
      <t xml:space="preserve">If sizing a Dehydrator for multiple runs, use chart below to enter up lengths of each size Transmission Line or Waveguide to calculate </t>
    </r>
    <r>
      <rPr>
        <u/>
        <sz val="10"/>
        <color theme="1"/>
        <rFont val="Calibri"/>
        <family val="2"/>
        <scheme val="minor"/>
      </rPr>
      <t>Total Volume.</t>
    </r>
    <r>
      <rPr>
        <sz val="10"/>
        <color theme="1"/>
        <rFont val="Calibri"/>
        <family val="2"/>
        <scheme val="minor"/>
      </rPr>
      <t xml:space="preserve">
**Calculator will suggest a single Dehydrator for the total volume
**If "N/A" may need multiple units to adequately supply pressure.</t>
    </r>
  </si>
  <si>
    <t>Added Waveguide Reference, Removed HCA295 and 7/8" Rigid Coaxial</t>
  </si>
  <si>
    <t xml:space="preserve">Updated naming of File and Hid/locked additional reference cells. </t>
  </si>
  <si>
    <t xml:space="preserve">Altitude (Feet) </t>
  </si>
  <si>
    <t xml:space="preserve">Altitude </t>
  </si>
  <si>
    <t xml:space="preserve">Multiplier </t>
  </si>
  <si>
    <t>Sea Level</t>
  </si>
  <si>
    <t>Altitude (meters)</t>
  </si>
  <si>
    <t>psia</t>
  </si>
  <si>
    <t>pa</t>
  </si>
  <si>
    <t>Added Altitude Calculator to Imperial and Metric</t>
  </si>
  <si>
    <t>Rev: Apr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</si>
</sst>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02">
    <xf numFmtId="0" fontId="0" fillId="0" borderId="0" xfId="0"/>
    <xf numFmtId="1" fontId="0" fillId="0" borderId="0" xfId="0" applyNumberFormat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vertical="center"/>
    </xf>
    <xf numFmtId="0" fontId="7" fillId="8" borderId="22" xfId="0" applyFont="1" applyFill="1" applyBorder="1" applyAlignment="1">
      <alignment horizontal="center" vertical="center"/>
    </xf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2" fillId="7" borderId="13" xfId="0" applyFont="1" applyFill="1" applyBorder="1" applyAlignment="1"/>
    <xf numFmtId="0" fontId="0" fillId="2" borderId="1" xfId="0" applyFill="1" applyBorder="1"/>
    <xf numFmtId="0" fontId="0" fillId="2" borderId="15" xfId="0" applyFill="1" applyBorder="1"/>
    <xf numFmtId="0" fontId="0" fillId="4" borderId="9" xfId="0" applyFill="1" applyBorder="1" applyAlignment="1">
      <alignment horizontal="center"/>
    </xf>
    <xf numFmtId="0" fontId="0" fillId="2" borderId="14" xfId="0" applyFill="1" applyBorder="1"/>
    <xf numFmtId="0" fontId="7" fillId="8" borderId="37" xfId="0" applyFont="1" applyFill="1" applyBorder="1" applyAlignment="1">
      <alignment vertical="center"/>
    </xf>
    <xf numFmtId="0" fontId="7" fillId="8" borderId="3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6" borderId="14" xfId="0" applyFill="1" applyBorder="1"/>
    <xf numFmtId="0" fontId="0" fillId="6" borderId="15" xfId="0" applyFill="1" applyBorder="1"/>
    <xf numFmtId="0" fontId="0" fillId="6" borderId="10" xfId="0" applyFill="1" applyBorder="1" applyAlignment="1"/>
    <xf numFmtId="0" fontId="0" fillId="6" borderId="10" xfId="0" applyFill="1" applyBorder="1"/>
    <xf numFmtId="0" fontId="7" fillId="8" borderId="36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37" fontId="0" fillId="0" borderId="2" xfId="1" applyNumberFormat="1" applyFont="1" applyBorder="1" applyAlignment="1" applyProtection="1">
      <alignment horizontal="center" vertical="center"/>
    </xf>
    <xf numFmtId="37" fontId="0" fillId="0" borderId="1" xfId="1" applyNumberFormat="1" applyFont="1" applyBorder="1" applyAlignment="1" applyProtection="1">
      <alignment horizontal="center" vertical="center"/>
    </xf>
    <xf numFmtId="0" fontId="0" fillId="6" borderId="3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7" borderId="24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18" xfId="0" applyFill="1" applyBorder="1" applyAlignment="1" applyProtection="1">
      <alignment horizontal="center"/>
      <protection locked="0"/>
    </xf>
    <xf numFmtId="0" fontId="0" fillId="6" borderId="6" xfId="0" applyFill="1" applyBorder="1"/>
    <xf numFmtId="0" fontId="0" fillId="10" borderId="24" xfId="0" applyFill="1" applyBorder="1" applyAlignment="1" applyProtection="1">
      <alignment horizontal="center"/>
      <protection locked="0"/>
    </xf>
    <xf numFmtId="0" fontId="0" fillId="10" borderId="16" xfId="0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164" fontId="0" fillId="0" borderId="5" xfId="0" applyNumberFormat="1" applyBorder="1" applyAlignment="1" applyProtection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1" fontId="7" fillId="0" borderId="16" xfId="0" applyNumberFormat="1" applyFont="1" applyBorder="1" applyAlignment="1">
      <alignment horizontal="center" vertical="center"/>
    </xf>
    <xf numFmtId="2" fontId="7" fillId="8" borderId="22" xfId="0" applyNumberFormat="1" applyFont="1" applyFill="1" applyBorder="1" applyAlignment="1">
      <alignment horizontal="center" vertical="center"/>
    </xf>
    <xf numFmtId="2" fontId="7" fillId="8" borderId="38" xfId="0" applyNumberFormat="1" applyFont="1" applyFill="1" applyBorder="1" applyAlignment="1">
      <alignment horizontal="center" vertical="center"/>
    </xf>
    <xf numFmtId="0" fontId="7" fillId="6" borderId="37" xfId="0" applyFont="1" applyFill="1" applyBorder="1"/>
    <xf numFmtId="0" fontId="7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7" fillId="6" borderId="30" xfId="0" applyFont="1" applyFill="1" applyBorder="1"/>
    <xf numFmtId="0" fontId="7" fillId="6" borderId="8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2" fontId="0" fillId="0" borderId="43" xfId="0" applyNumberFormat="1" applyBorder="1" applyAlignment="1">
      <alignment horizontal="center"/>
    </xf>
    <xf numFmtId="0" fontId="0" fillId="10" borderId="53" xfId="0" applyFill="1" applyBorder="1" applyAlignment="1" applyProtection="1">
      <alignment horizontal="center"/>
      <protection locked="0"/>
    </xf>
    <xf numFmtId="0" fontId="0" fillId="7" borderId="53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left" vertical="center"/>
    </xf>
    <xf numFmtId="0" fontId="0" fillId="11" borderId="5" xfId="0" applyFill="1" applyBorder="1" applyAlignment="1" applyProtection="1">
      <alignment horizontal="left" vertical="center"/>
    </xf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10" fillId="6" borderId="2" xfId="2" applyFill="1" applyBorder="1" applyProtection="1"/>
    <xf numFmtId="2" fontId="0" fillId="0" borderId="0" xfId="0" applyNumberFormat="1"/>
    <xf numFmtId="165" fontId="0" fillId="0" borderId="5" xfId="0" applyNumberFormat="1" applyBorder="1" applyAlignment="1" applyProtection="1">
      <alignment horizontal="center" vertical="center"/>
    </xf>
    <xf numFmtId="165" fontId="0" fillId="3" borderId="5" xfId="0" applyNumberFormat="1" applyFill="1" applyBorder="1" applyAlignment="1" applyProtection="1">
      <alignment horizontal="center" vertical="center"/>
    </xf>
    <xf numFmtId="165" fontId="0" fillId="11" borderId="5" xfId="0" applyNumberFormat="1" applyFill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164" fontId="0" fillId="11" borderId="5" xfId="0" applyNumberFormat="1" applyFill="1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165" fontId="0" fillId="0" borderId="14" xfId="0" applyNumberFormat="1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</xf>
    <xf numFmtId="3" fontId="0" fillId="3" borderId="5" xfId="0" applyNumberFormat="1" applyFill="1" applyBorder="1" applyAlignment="1" applyProtection="1">
      <alignment horizontal="center" vertical="center"/>
    </xf>
    <xf numFmtId="3" fontId="0" fillId="11" borderId="5" xfId="0" applyNumberForma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5" xfId="0" applyBorder="1"/>
    <xf numFmtId="0" fontId="2" fillId="0" borderId="1" xfId="0" applyFon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6" borderId="0" xfId="0" applyFill="1"/>
    <xf numFmtId="3" fontId="0" fillId="0" borderId="14" xfId="0" applyNumberFormat="1" applyBorder="1" applyAlignment="1" applyProtection="1">
      <alignment horizontal="center" vertical="center"/>
    </xf>
    <xf numFmtId="3" fontId="0" fillId="3" borderId="15" xfId="0" applyNumberForma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11" borderId="15" xfId="0" applyNumberForma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/>
    </xf>
    <xf numFmtId="37" fontId="0" fillId="4" borderId="2" xfId="1" applyNumberFormat="1" applyFont="1" applyFill="1" applyBorder="1" applyAlignment="1" applyProtection="1">
      <alignment horizontal="center" vertical="center"/>
    </xf>
    <xf numFmtId="37" fontId="0" fillId="4" borderId="1" xfId="1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right" vertical="center"/>
    </xf>
    <xf numFmtId="0" fontId="11" fillId="0" borderId="14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" fontId="0" fillId="4" borderId="1" xfId="0" applyNumberFormat="1" applyFill="1" applyBorder="1" applyAlignment="1" applyProtection="1">
      <alignment horizontal="center" vertical="center"/>
      <protection hidden="1"/>
    </xf>
    <xf numFmtId="165" fontId="0" fillId="0" borderId="5" xfId="0" applyNumberFormat="1" applyBorder="1" applyAlignment="1" applyProtection="1">
      <alignment horizontal="center" vertical="center"/>
      <protection hidden="1"/>
    </xf>
    <xf numFmtId="3" fontId="0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4" xfId="1" applyNumberFormat="1" applyFont="1" applyBorder="1" applyAlignment="1" applyProtection="1">
      <alignment horizontal="center" vertical="center"/>
      <protection hidden="1"/>
    </xf>
    <xf numFmtId="165" fontId="0" fillId="3" borderId="5" xfId="0" applyNumberFormat="1" applyFill="1" applyBorder="1" applyAlignment="1" applyProtection="1">
      <alignment horizontal="center" vertical="center"/>
      <protection hidden="1"/>
    </xf>
    <xf numFmtId="3" fontId="0" fillId="3" borderId="15" xfId="1" applyNumberFormat="1" applyFont="1" applyFill="1" applyBorder="1" applyAlignment="1" applyProtection="1">
      <alignment horizontal="center" vertical="center"/>
      <protection hidden="1"/>
    </xf>
    <xf numFmtId="165" fontId="0" fillId="11" borderId="5" xfId="0" applyNumberFormat="1" applyFill="1" applyBorder="1" applyAlignment="1" applyProtection="1">
      <alignment horizontal="center" vertical="center"/>
      <protection hidden="1"/>
    </xf>
    <xf numFmtId="3" fontId="0" fillId="11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0" xfId="1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164" fontId="0" fillId="0" borderId="2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</xf>
    <xf numFmtId="164" fontId="0" fillId="0" borderId="7" xfId="0" applyNumberFormat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  <protection hidden="1"/>
    </xf>
    <xf numFmtId="165" fontId="0" fillId="0" borderId="15" xfId="0" applyNumberFormat="1" applyBorder="1" applyAlignment="1" applyProtection="1">
      <alignment horizontal="center" vertical="center"/>
      <protection hidden="1"/>
    </xf>
    <xf numFmtId="164" fontId="0" fillId="12" borderId="3" xfId="0" applyNumberFormat="1" applyFill="1" applyBorder="1" applyAlignment="1" applyProtection="1">
      <alignment horizontal="center" vertical="center"/>
    </xf>
    <xf numFmtId="165" fontId="0" fillId="12" borderId="14" xfId="0" applyNumberFormat="1" applyFill="1" applyBorder="1" applyAlignment="1" applyProtection="1">
      <alignment horizontal="center" vertical="center"/>
      <protection hidden="1"/>
    </xf>
    <xf numFmtId="0" fontId="10" fillId="6" borderId="5" xfId="2" applyFill="1" applyBorder="1" applyProtection="1"/>
    <xf numFmtId="164" fontId="0" fillId="12" borderId="0" xfId="0" applyNumberFormat="1" applyFill="1" applyBorder="1" applyAlignment="1" applyProtection="1">
      <alignment horizontal="center" vertical="center"/>
    </xf>
    <xf numFmtId="0" fontId="0" fillId="12" borderId="14" xfId="0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12" borderId="15" xfId="0" applyFill="1" applyBorder="1" applyAlignment="1" applyProtection="1">
      <alignment horizontal="left" vertical="center"/>
    </xf>
    <xf numFmtId="0" fontId="0" fillId="12" borderId="10" xfId="0" applyFill="1" applyBorder="1" applyAlignment="1" applyProtection="1">
      <alignment horizontal="left" vertical="center"/>
    </xf>
    <xf numFmtId="0" fontId="0" fillId="10" borderId="31" xfId="0" applyFill="1" applyBorder="1" applyAlignment="1" applyProtection="1">
      <alignment horizontal="center"/>
      <protection locked="0"/>
    </xf>
    <xf numFmtId="0" fontId="0" fillId="10" borderId="32" xfId="0" applyFill="1" applyBorder="1" applyAlignment="1" applyProtection="1">
      <alignment horizontal="center"/>
      <protection locked="0"/>
    </xf>
    <xf numFmtId="0" fontId="0" fillId="10" borderId="34" xfId="0" applyFill="1" applyBorder="1" applyAlignment="1" applyProtection="1">
      <alignment horizontal="center"/>
      <protection locked="0"/>
    </xf>
    <xf numFmtId="0" fontId="0" fillId="10" borderId="55" xfId="0" applyFill="1" applyBorder="1" applyAlignment="1" applyProtection="1">
      <alignment horizontal="center"/>
      <protection locked="0"/>
    </xf>
    <xf numFmtId="0" fontId="0" fillId="10" borderId="25" xfId="0" applyFill="1" applyBorder="1" applyAlignment="1" applyProtection="1">
      <alignment horizontal="center"/>
      <protection locked="0"/>
    </xf>
    <xf numFmtId="0" fontId="0" fillId="10" borderId="26" xfId="0" applyFill="1" applyBorder="1" applyAlignment="1" applyProtection="1">
      <alignment horizontal="center"/>
      <protection locked="0"/>
    </xf>
    <xf numFmtId="0" fontId="0" fillId="10" borderId="51" xfId="0" applyFill="1" applyBorder="1" applyAlignment="1" applyProtection="1">
      <alignment horizontal="center"/>
      <protection locked="0"/>
    </xf>
    <xf numFmtId="0" fontId="0" fillId="10" borderId="54" xfId="0" applyFill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 vertical="center"/>
    </xf>
    <xf numFmtId="164" fontId="0" fillId="12" borderId="8" xfId="0" applyNumberFormat="1" applyFill="1" applyBorder="1" applyAlignment="1" applyProtection="1">
      <alignment horizontal="center" vertical="center"/>
    </xf>
    <xf numFmtId="2" fontId="0" fillId="0" borderId="58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0" fillId="10" borderId="35" xfId="0" applyFill="1" applyBorder="1" applyAlignment="1" applyProtection="1">
      <alignment horizontal="center"/>
      <protection locked="0"/>
    </xf>
    <xf numFmtId="0" fontId="0" fillId="10" borderId="19" xfId="0" applyFill="1" applyBorder="1" applyAlignment="1" applyProtection="1">
      <alignment horizontal="center"/>
      <protection locked="0"/>
    </xf>
    <xf numFmtId="0" fontId="0" fillId="10" borderId="20" xfId="0" applyFill="1" applyBorder="1" applyAlignment="1" applyProtection="1">
      <alignment horizontal="center"/>
      <protection locked="0"/>
    </xf>
    <xf numFmtId="0" fontId="0" fillId="10" borderId="56" xfId="0" applyFill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7" borderId="31" xfId="0" applyFill="1" applyBorder="1" applyAlignment="1" applyProtection="1">
      <alignment horizontal="center"/>
      <protection locked="0"/>
    </xf>
    <xf numFmtId="0" fontId="0" fillId="7" borderId="32" xfId="0" applyFill="1" applyBorder="1" applyAlignment="1" applyProtection="1">
      <alignment horizontal="center"/>
      <protection locked="0"/>
    </xf>
    <xf numFmtId="0" fontId="0" fillId="7" borderId="34" xfId="0" applyFill="1" applyBorder="1" applyAlignment="1" applyProtection="1">
      <alignment horizontal="center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0" fillId="7" borderId="54" xfId="0" applyFill="1" applyBorder="1" applyAlignment="1" applyProtection="1">
      <alignment horizontal="center"/>
      <protection locked="0"/>
    </xf>
    <xf numFmtId="165" fontId="0" fillId="12" borderId="15" xfId="0" applyNumberFormat="1" applyFill="1" applyBorder="1" applyAlignment="1" applyProtection="1">
      <alignment horizontal="center" vertical="center"/>
    </xf>
    <xf numFmtId="165" fontId="0" fillId="0" borderId="15" xfId="0" applyNumberFormat="1" applyBorder="1" applyAlignment="1" applyProtection="1">
      <alignment horizontal="center" vertical="center"/>
    </xf>
    <xf numFmtId="165" fontId="0" fillId="12" borderId="10" xfId="0" applyNumberFormat="1" applyFill="1" applyBorder="1" applyAlignment="1" applyProtection="1">
      <alignment horizontal="center" vertical="center"/>
    </xf>
    <xf numFmtId="3" fontId="0" fillId="12" borderId="3" xfId="0" applyNumberFormat="1" applyFill="1" applyBorder="1" applyAlignment="1" applyProtection="1">
      <alignment horizontal="center" vertical="center"/>
    </xf>
    <xf numFmtId="3" fontId="0" fillId="12" borderId="0" xfId="0" applyNumberFormat="1" applyFill="1" applyBorder="1" applyAlignment="1" applyProtection="1">
      <alignment horizontal="center" vertical="center"/>
    </xf>
    <xf numFmtId="3" fontId="0" fillId="12" borderId="8" xfId="0" applyNumberFormat="1" applyFill="1" applyBorder="1" applyAlignment="1" applyProtection="1">
      <alignment horizontal="center" vertical="center"/>
    </xf>
    <xf numFmtId="3" fontId="0" fillId="12" borderId="14" xfId="0" applyNumberFormat="1" applyFill="1" applyBorder="1" applyAlignment="1" applyProtection="1">
      <alignment horizontal="center" vertical="center"/>
    </xf>
    <xf numFmtId="3" fontId="0" fillId="12" borderId="15" xfId="0" applyNumberFormat="1" applyFill="1" applyBorder="1" applyAlignment="1" applyProtection="1">
      <alignment horizontal="center" vertical="center"/>
    </xf>
    <xf numFmtId="3" fontId="0" fillId="12" borderId="10" xfId="0" applyNumberFormat="1" applyFill="1" applyBorder="1" applyAlignment="1" applyProtection="1">
      <alignment horizontal="center" vertical="center"/>
    </xf>
    <xf numFmtId="0" fontId="0" fillId="10" borderId="23" xfId="0" applyFill="1" applyBorder="1" applyAlignment="1" applyProtection="1">
      <alignment horizontal="center"/>
      <protection locked="0"/>
    </xf>
    <xf numFmtId="0" fontId="0" fillId="10" borderId="17" xfId="0" applyFill="1" applyBorder="1" applyAlignment="1" applyProtection="1">
      <alignment horizontal="center"/>
      <protection locked="0"/>
    </xf>
    <xf numFmtId="0" fontId="0" fillId="10" borderId="27" xfId="0" applyFill="1" applyBorder="1" applyAlignment="1" applyProtection="1">
      <alignment horizontal="center"/>
      <protection locked="0"/>
    </xf>
    <xf numFmtId="0" fontId="0" fillId="10" borderId="57" xfId="0" applyFill="1" applyBorder="1" applyAlignment="1" applyProtection="1">
      <alignment horizontal="center"/>
      <protection locked="0"/>
    </xf>
    <xf numFmtId="2" fontId="0" fillId="0" borderId="59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164" fontId="0" fillId="12" borderId="14" xfId="0" applyNumberFormat="1" applyFill="1" applyBorder="1" applyAlignment="1" applyProtection="1">
      <alignment horizontal="center" vertical="center"/>
      <protection hidden="1"/>
    </xf>
    <xf numFmtId="164" fontId="0" fillId="0" borderId="15" xfId="0" applyNumberFormat="1" applyBorder="1" applyAlignment="1" applyProtection="1">
      <alignment horizontal="center" vertical="center"/>
      <protection hidden="1"/>
    </xf>
    <xf numFmtId="164" fontId="0" fillId="12" borderId="15" xfId="0" applyNumberFormat="1" applyFill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12" borderId="10" xfId="0" applyNumberFormat="1" applyFill="1" applyBorder="1" applyAlignment="1" applyProtection="1">
      <alignment horizontal="center" vertical="center"/>
    </xf>
    <xf numFmtId="2" fontId="5" fillId="6" borderId="9" xfId="0" applyNumberFormat="1" applyFont="1" applyFill="1" applyBorder="1" applyAlignment="1" applyProtection="1">
      <alignment horizontal="center"/>
      <protection hidden="1"/>
    </xf>
    <xf numFmtId="2" fontId="0" fillId="0" borderId="10" xfId="0" applyNumberFormat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2" fillId="0" borderId="14" xfId="0" applyFont="1" applyBorder="1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2" fontId="0" fillId="0" borderId="1" xfId="0" applyNumberFormat="1" applyFill="1" applyBorder="1" applyAlignment="1">
      <alignment horizontal="center"/>
    </xf>
    <xf numFmtId="2" fontId="5" fillId="0" borderId="15" xfId="1" applyNumberFormat="1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Alignment="1" applyProtection="1">
      <alignment horizontal="center" vertical="center"/>
      <protection hidden="1"/>
    </xf>
    <xf numFmtId="2" fontId="5" fillId="6" borderId="15" xfId="1" applyNumberFormat="1" applyFont="1" applyFill="1" applyBorder="1" applyAlignment="1" applyProtection="1">
      <alignment horizontal="center" vertical="center"/>
      <protection hidden="1"/>
    </xf>
    <xf numFmtId="0" fontId="11" fillId="6" borderId="15" xfId="0" applyFont="1" applyFill="1" applyBorder="1" applyAlignment="1" applyProtection="1">
      <alignment horizontal="center" vertical="center" wrapText="1"/>
      <protection hidden="1"/>
    </xf>
    <xf numFmtId="2" fontId="5" fillId="6" borderId="10" xfId="1" applyNumberFormat="1" applyFont="1" applyFill="1" applyBorder="1" applyAlignment="1" applyProtection="1">
      <alignment horizontal="center" vertical="center"/>
      <protection hidden="1"/>
    </xf>
    <xf numFmtId="3" fontId="0" fillId="13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right"/>
      <protection hidden="1"/>
    </xf>
    <xf numFmtId="0" fontId="11" fillId="0" borderId="12" xfId="0" applyFont="1" applyBorder="1" applyAlignment="1" applyProtection="1">
      <alignment horizontal="right"/>
      <protection hidden="1"/>
    </xf>
    <xf numFmtId="0" fontId="11" fillId="0" borderId="13" xfId="0" applyFont="1" applyBorder="1" applyAlignment="1" applyProtection="1">
      <alignment horizontal="right"/>
      <protection hidden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11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7" fillId="0" borderId="4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8" fillId="8" borderId="11" xfId="0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2" fontId="7" fillId="0" borderId="38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right"/>
      <protection hidden="1"/>
    </xf>
    <xf numFmtId="0" fontId="11" fillId="6" borderId="12" xfId="0" applyFont="1" applyFill="1" applyBorder="1" applyAlignment="1" applyProtection="1">
      <alignment horizontal="right"/>
      <protection hidden="1"/>
    </xf>
    <xf numFmtId="0" fontId="11" fillId="6" borderId="13" xfId="0" applyFont="1" applyFill="1" applyBorder="1" applyAlignment="1" applyProtection="1">
      <alignment horizontal="right"/>
      <protection hidden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2" xfId="0" applyBorder="1" applyAlignment="1" applyProtection="1">
      <alignment horizontal="right" vertical="center"/>
    </xf>
    <xf numFmtId="0" fontId="6" fillId="6" borderId="0" xfId="0" applyFont="1" applyFill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535DC-1707-4936-BC75-9DE057DF310C}">
  <dimension ref="B1:S98"/>
  <sheetViews>
    <sheetView showGridLines="0" zoomScaleNormal="100" workbookViewId="0">
      <selection activeCell="D14" sqref="D14"/>
    </sheetView>
  </sheetViews>
  <sheetFormatPr defaultRowHeight="15" x14ac:dyDescent="0.25"/>
  <cols>
    <col min="1" max="1" width="5.140625" customWidth="1"/>
    <col min="2" max="2" width="24.28515625" customWidth="1"/>
    <col min="3" max="3" width="11.5703125" hidden="1" customWidth="1"/>
    <col min="4" max="4" width="18.42578125" customWidth="1"/>
    <col min="5" max="6" width="14.42578125" bestFit="1" customWidth="1"/>
    <col min="7" max="9" width="15.42578125" bestFit="1" customWidth="1"/>
    <col min="10" max="10" width="2.42578125" customWidth="1"/>
    <col min="11" max="14" width="12.140625" customWidth="1"/>
    <col min="15" max="15" width="14.5703125" customWidth="1"/>
    <col min="16" max="17" width="9.140625" hidden="1" customWidth="1"/>
  </cols>
  <sheetData>
    <row r="1" spans="2:18" ht="15.75" thickBot="1" x14ac:dyDescent="0.3">
      <c r="B1" t="s">
        <v>171</v>
      </c>
    </row>
    <row r="2" spans="2:18" ht="15.75" thickBot="1" x14ac:dyDescent="0.3">
      <c r="B2" s="116" t="s">
        <v>141</v>
      </c>
      <c r="C2" s="239" t="s">
        <v>2</v>
      </c>
      <c r="D2" s="240"/>
      <c r="E2" s="67" t="s">
        <v>80</v>
      </c>
      <c r="F2" s="23" t="s">
        <v>81</v>
      </c>
      <c r="G2" s="23" t="s">
        <v>82</v>
      </c>
      <c r="H2" s="23" t="s">
        <v>83</v>
      </c>
      <c r="I2" s="23" t="s">
        <v>84</v>
      </c>
      <c r="K2" s="244" t="s">
        <v>137</v>
      </c>
      <c r="L2" s="245"/>
      <c r="M2" s="245"/>
      <c r="N2" s="245"/>
      <c r="O2" s="246"/>
    </row>
    <row r="3" spans="2:18" ht="15.75" customHeight="1" thickBot="1" x14ac:dyDescent="0.3">
      <c r="B3" s="208" t="s">
        <v>163</v>
      </c>
      <c r="C3" s="250" t="s">
        <v>7</v>
      </c>
      <c r="D3" s="251"/>
      <c r="E3" s="122">
        <f>E4/1440</f>
        <v>0.1388888888888889</v>
      </c>
      <c r="F3" s="203">
        <f>F4/1440</f>
        <v>0.38194444444444442</v>
      </c>
      <c r="G3" s="122">
        <f>G4/1440</f>
        <v>1.0416666666666667</v>
      </c>
      <c r="H3" s="204">
        <f>H4/1440</f>
        <v>2.9166666666666665</v>
      </c>
      <c r="I3" s="203">
        <f>I4/1440</f>
        <v>5.833333333333333</v>
      </c>
      <c r="J3" s="110"/>
      <c r="K3" s="230" t="s">
        <v>142</v>
      </c>
      <c r="L3" s="231"/>
      <c r="M3" s="231"/>
      <c r="N3" s="231"/>
      <c r="O3" s="232"/>
      <c r="P3" s="110"/>
      <c r="Q3" s="110"/>
      <c r="R3" s="110"/>
    </row>
    <row r="4" spans="2:18" ht="15.75" customHeight="1" thickBot="1" x14ac:dyDescent="0.3">
      <c r="B4" s="217" t="s">
        <v>166</v>
      </c>
      <c r="C4" s="250" t="s">
        <v>3</v>
      </c>
      <c r="D4" s="251"/>
      <c r="E4" s="123">
        <v>200</v>
      </c>
      <c r="F4" s="124">
        <v>550</v>
      </c>
      <c r="G4" s="123">
        <v>1500</v>
      </c>
      <c r="H4" s="125">
        <v>4200</v>
      </c>
      <c r="I4" s="126">
        <v>8400</v>
      </c>
      <c r="K4" s="233"/>
      <c r="L4" s="234"/>
      <c r="M4" s="234"/>
      <c r="N4" s="234"/>
      <c r="O4" s="235"/>
    </row>
    <row r="5" spans="2:18" ht="15.75" thickBot="1" x14ac:dyDescent="0.3">
      <c r="B5" s="211">
        <f>IF(B4=Sheet1!A2,Sheet1!B2,IF(B4=Sheet1!A3,Sheet1!B3,IF(B4=Sheet1!A4,Sheet1!B4,IF(B4=Sheet1!A5,Sheet1!B5,IF(B4=Sheet1!A6,Sheet1!B6,IF(B4=Sheet1!A7,Sheet1!B7,"N/A"))))))</f>
        <v>1</v>
      </c>
      <c r="C5" s="250" t="s">
        <v>4</v>
      </c>
      <c r="D5" s="251"/>
      <c r="E5" s="127">
        <f>$B$5*($B$7*60*14.7*E3)/($B$9+14.7)</f>
        <v>69.955583756345177</v>
      </c>
      <c r="F5" s="127">
        <f t="shared" ref="F5:I5" si="0">$B$5*($B$7*60*14.7*F3)/($B$9+14.7)</f>
        <v>192.37785532994923</v>
      </c>
      <c r="G5" s="127">
        <f t="shared" si="0"/>
        <v>524.66687817258889</v>
      </c>
      <c r="H5" s="127">
        <f t="shared" si="0"/>
        <v>1469.0672588832488</v>
      </c>
      <c r="I5" s="127">
        <f t="shared" si="0"/>
        <v>2938.1345177664975</v>
      </c>
      <c r="K5" s="233"/>
      <c r="L5" s="234"/>
      <c r="M5" s="234"/>
      <c r="N5" s="234"/>
      <c r="O5" s="235"/>
    </row>
    <row r="6" spans="2:18" ht="15" customHeight="1" x14ac:dyDescent="0.25">
      <c r="B6" s="120" t="s">
        <v>132</v>
      </c>
      <c r="C6" s="205" t="s">
        <v>131</v>
      </c>
      <c r="D6" s="227" t="s">
        <v>78</v>
      </c>
      <c r="E6" s="218" t="s">
        <v>52</v>
      </c>
      <c r="F6" s="219"/>
      <c r="G6" s="219"/>
      <c r="H6" s="219"/>
      <c r="I6" s="220"/>
      <c r="K6" s="233"/>
      <c r="L6" s="234"/>
      <c r="M6" s="234"/>
      <c r="N6" s="234"/>
      <c r="O6" s="235"/>
    </row>
    <row r="7" spans="2:18" ht="15" customHeight="1" x14ac:dyDescent="0.25">
      <c r="B7" s="212">
        <v>11.25</v>
      </c>
      <c r="C7" s="206"/>
      <c r="D7" s="228"/>
      <c r="E7" s="221"/>
      <c r="F7" s="222"/>
      <c r="G7" s="222"/>
      <c r="H7" s="222"/>
      <c r="I7" s="223"/>
      <c r="K7" s="233"/>
      <c r="L7" s="234"/>
      <c r="M7" s="234"/>
      <c r="N7" s="234"/>
      <c r="O7" s="235"/>
    </row>
    <row r="8" spans="2:18" ht="15" customHeight="1" thickBot="1" x14ac:dyDescent="0.3">
      <c r="B8" s="121" t="s">
        <v>129</v>
      </c>
      <c r="C8" s="207"/>
      <c r="D8" s="228"/>
      <c r="E8" s="221"/>
      <c r="F8" s="222"/>
      <c r="G8" s="222"/>
      <c r="H8" s="222"/>
      <c r="I8" s="223"/>
      <c r="K8" s="236"/>
      <c r="L8" s="237"/>
      <c r="M8" s="237"/>
      <c r="N8" s="237"/>
      <c r="O8" s="238"/>
    </row>
    <row r="9" spans="2:18" ht="15" customHeight="1" thickBot="1" x14ac:dyDescent="0.3">
      <c r="B9" s="212">
        <v>5</v>
      </c>
      <c r="C9" s="115" t="s">
        <v>79</v>
      </c>
      <c r="D9" s="229"/>
      <c r="E9" s="224"/>
      <c r="F9" s="225"/>
      <c r="G9" s="225"/>
      <c r="H9" s="225"/>
      <c r="I9" s="226"/>
      <c r="K9" s="82" t="s">
        <v>57</v>
      </c>
      <c r="L9" s="83" t="s">
        <v>56</v>
      </c>
      <c r="M9" s="83" t="s">
        <v>55</v>
      </c>
      <c r="N9" s="84" t="s">
        <v>54</v>
      </c>
      <c r="O9" s="85" t="s">
        <v>53</v>
      </c>
    </row>
    <row r="10" spans="2:18" x14ac:dyDescent="0.25">
      <c r="B10" s="137" t="s">
        <v>59</v>
      </c>
      <c r="C10" s="138">
        <f t="shared" ref="C10:C29" si="1">Q10</f>
        <v>0.45929882866467109</v>
      </c>
      <c r="D10" s="139">
        <f t="shared" ref="D10:D29" si="2">(C10^2)*3.14/4/12/12</f>
        <v>1.1500000000000004E-3</v>
      </c>
      <c r="E10" s="130">
        <f t="shared" ref="E10:I19" si="3">INT(E$5/$D10)</f>
        <v>60830</v>
      </c>
      <c r="F10" s="130">
        <f t="shared" si="3"/>
        <v>167285</v>
      </c>
      <c r="G10" s="130">
        <f t="shared" si="3"/>
        <v>456232</v>
      </c>
      <c r="H10" s="130">
        <f t="shared" si="3"/>
        <v>1277449</v>
      </c>
      <c r="I10" s="130">
        <f t="shared" si="3"/>
        <v>2554899</v>
      </c>
      <c r="K10" s="35"/>
      <c r="L10" s="36"/>
      <c r="M10" s="37"/>
      <c r="N10" s="70"/>
      <c r="O10" s="68">
        <f t="shared" ref="O10:O47" si="4">(SUM(K10:N10))*$D10</f>
        <v>0</v>
      </c>
      <c r="P10">
        <v>1.15E-3</v>
      </c>
      <c r="Q10">
        <f t="shared" ref="Q10:Q29" si="5">SQRT(P10*4/3.14)*12</f>
        <v>0.45929882866467109</v>
      </c>
    </row>
    <row r="11" spans="2:18" x14ac:dyDescent="0.25">
      <c r="B11" s="72" t="s">
        <v>60</v>
      </c>
      <c r="C11" s="86">
        <f t="shared" si="1"/>
        <v>0.51395803937873974</v>
      </c>
      <c r="D11" s="131">
        <f t="shared" si="2"/>
        <v>1.4400000000000001E-3</v>
      </c>
      <c r="E11" s="132">
        <f t="shared" si="3"/>
        <v>48580</v>
      </c>
      <c r="F11" s="132">
        <f t="shared" si="3"/>
        <v>133595</v>
      </c>
      <c r="G11" s="132">
        <f t="shared" si="3"/>
        <v>364351</v>
      </c>
      <c r="H11" s="132">
        <f t="shared" si="3"/>
        <v>1020185</v>
      </c>
      <c r="I11" s="132">
        <f t="shared" si="3"/>
        <v>2040371</v>
      </c>
      <c r="K11" s="39"/>
      <c r="L11" s="40"/>
      <c r="M11" s="41"/>
      <c r="N11" s="69"/>
      <c r="O11" s="68">
        <f t="shared" si="4"/>
        <v>0</v>
      </c>
      <c r="P11">
        <v>1.4400000000000001E-3</v>
      </c>
      <c r="Q11">
        <f t="shared" si="5"/>
        <v>0.51395803937873974</v>
      </c>
    </row>
    <row r="12" spans="2:18" x14ac:dyDescent="0.25">
      <c r="B12" s="71" t="s">
        <v>61</v>
      </c>
      <c r="C12" s="43">
        <f t="shared" si="1"/>
        <v>0.70636776116463507</v>
      </c>
      <c r="D12" s="128">
        <f t="shared" si="2"/>
        <v>2.7200000000000006E-3</v>
      </c>
      <c r="E12" s="129">
        <f t="shared" si="3"/>
        <v>25718</v>
      </c>
      <c r="F12" s="129">
        <f t="shared" si="3"/>
        <v>70727</v>
      </c>
      <c r="G12" s="129">
        <f t="shared" si="3"/>
        <v>192892</v>
      </c>
      <c r="H12" s="129">
        <f t="shared" si="3"/>
        <v>540098</v>
      </c>
      <c r="I12" s="129">
        <f t="shared" si="3"/>
        <v>1080196</v>
      </c>
      <c r="K12" s="35"/>
      <c r="L12" s="36"/>
      <c r="M12" s="37"/>
      <c r="N12" s="70"/>
      <c r="O12" s="68">
        <f t="shared" si="4"/>
        <v>0</v>
      </c>
      <c r="P12">
        <v>2.7200000000000002E-3</v>
      </c>
      <c r="Q12">
        <f t="shared" si="5"/>
        <v>0.70636776116463507</v>
      </c>
    </row>
    <row r="13" spans="2:18" x14ac:dyDescent="0.25">
      <c r="B13" s="72" t="s">
        <v>62</v>
      </c>
      <c r="C13" s="86">
        <f t="shared" si="1"/>
        <v>0.93933165018782683</v>
      </c>
      <c r="D13" s="131">
        <f t="shared" si="2"/>
        <v>4.8099999999999992E-3</v>
      </c>
      <c r="E13" s="132">
        <f t="shared" si="3"/>
        <v>14543</v>
      </c>
      <c r="F13" s="132">
        <f t="shared" si="3"/>
        <v>39995</v>
      </c>
      <c r="G13" s="132">
        <f t="shared" si="3"/>
        <v>109078</v>
      </c>
      <c r="H13" s="132">
        <f t="shared" si="3"/>
        <v>305419</v>
      </c>
      <c r="I13" s="132">
        <f t="shared" si="3"/>
        <v>610838</v>
      </c>
      <c r="K13" s="39"/>
      <c r="L13" s="40"/>
      <c r="M13" s="41"/>
      <c r="N13" s="69"/>
      <c r="O13" s="68">
        <f t="shared" si="4"/>
        <v>0</v>
      </c>
      <c r="P13">
        <v>4.81E-3</v>
      </c>
      <c r="Q13">
        <f t="shared" si="5"/>
        <v>0.93933165018782683</v>
      </c>
    </row>
    <row r="14" spans="2:18" x14ac:dyDescent="0.25">
      <c r="B14" s="71" t="s">
        <v>63</v>
      </c>
      <c r="C14" s="43">
        <f t="shared" si="1"/>
        <v>1.2189585196434967</v>
      </c>
      <c r="D14" s="128">
        <f t="shared" si="2"/>
        <v>8.1000000000000013E-3</v>
      </c>
      <c r="E14" s="129">
        <f t="shared" si="3"/>
        <v>8636</v>
      </c>
      <c r="F14" s="129">
        <f t="shared" si="3"/>
        <v>23750</v>
      </c>
      <c r="G14" s="129">
        <f t="shared" si="3"/>
        <v>64773</v>
      </c>
      <c r="H14" s="129">
        <f t="shared" si="3"/>
        <v>181366</v>
      </c>
      <c r="I14" s="129">
        <f t="shared" si="3"/>
        <v>362732</v>
      </c>
      <c r="K14" s="35"/>
      <c r="L14" s="36"/>
      <c r="M14" s="37"/>
      <c r="N14" s="70"/>
      <c r="O14" s="68">
        <f t="shared" si="4"/>
        <v>0</v>
      </c>
      <c r="P14">
        <v>8.0999999999999996E-3</v>
      </c>
      <c r="Q14">
        <f t="shared" si="5"/>
        <v>1.2189585196434967</v>
      </c>
    </row>
    <row r="15" spans="2:18" x14ac:dyDescent="0.25">
      <c r="B15" s="72" t="s">
        <v>64</v>
      </c>
      <c r="C15" s="86">
        <f t="shared" si="1"/>
        <v>1.6807641574195478</v>
      </c>
      <c r="D15" s="131">
        <f t="shared" si="2"/>
        <v>1.5400000000000004E-2</v>
      </c>
      <c r="E15" s="132">
        <f t="shared" si="3"/>
        <v>4542</v>
      </c>
      <c r="F15" s="132">
        <f t="shared" si="3"/>
        <v>12492</v>
      </c>
      <c r="G15" s="132">
        <f t="shared" si="3"/>
        <v>34069</v>
      </c>
      <c r="H15" s="132">
        <f t="shared" si="3"/>
        <v>95393</v>
      </c>
      <c r="I15" s="132">
        <f t="shared" si="3"/>
        <v>190787</v>
      </c>
      <c r="K15" s="39"/>
      <c r="L15" s="40"/>
      <c r="M15" s="41"/>
      <c r="N15" s="69"/>
      <c r="O15" s="68">
        <f t="shared" si="4"/>
        <v>0</v>
      </c>
      <c r="P15">
        <v>1.54E-2</v>
      </c>
      <c r="Q15">
        <f t="shared" si="5"/>
        <v>1.6807641574195478</v>
      </c>
    </row>
    <row r="16" spans="2:18" x14ac:dyDescent="0.25">
      <c r="B16" s="71" t="s">
        <v>65</v>
      </c>
      <c r="C16" s="43">
        <f t="shared" si="1"/>
        <v>2.0406068786321927</v>
      </c>
      <c r="D16" s="128">
        <f t="shared" si="2"/>
        <v>2.2700000000000008E-2</v>
      </c>
      <c r="E16" s="129">
        <f t="shared" si="3"/>
        <v>3081</v>
      </c>
      <c r="F16" s="129">
        <f t="shared" si="3"/>
        <v>8474</v>
      </c>
      <c r="G16" s="129">
        <f t="shared" si="3"/>
        <v>23113</v>
      </c>
      <c r="H16" s="129">
        <f t="shared" si="3"/>
        <v>64716</v>
      </c>
      <c r="I16" s="129">
        <f t="shared" si="3"/>
        <v>129433</v>
      </c>
      <c r="K16" s="35"/>
      <c r="L16" s="36"/>
      <c r="M16" s="37"/>
      <c r="N16" s="70"/>
      <c r="O16" s="68">
        <f t="shared" si="4"/>
        <v>0</v>
      </c>
      <c r="P16">
        <v>2.2700000000000001E-2</v>
      </c>
      <c r="Q16">
        <f t="shared" si="5"/>
        <v>2.0406068786321927</v>
      </c>
    </row>
    <row r="17" spans="2:19" x14ac:dyDescent="0.25">
      <c r="B17" s="72" t="s">
        <v>66</v>
      </c>
      <c r="C17" s="86">
        <f t="shared" si="1"/>
        <v>2.6087554687132717</v>
      </c>
      <c r="D17" s="131">
        <f t="shared" si="2"/>
        <v>3.7100000000000008E-2</v>
      </c>
      <c r="E17" s="132">
        <f t="shared" si="3"/>
        <v>1885</v>
      </c>
      <c r="F17" s="132">
        <f t="shared" si="3"/>
        <v>5185</v>
      </c>
      <c r="G17" s="132">
        <f t="shared" si="3"/>
        <v>14141</v>
      </c>
      <c r="H17" s="132">
        <f t="shared" si="3"/>
        <v>39597</v>
      </c>
      <c r="I17" s="132">
        <f t="shared" si="3"/>
        <v>79195</v>
      </c>
      <c r="K17" s="39"/>
      <c r="L17" s="40"/>
      <c r="M17" s="41"/>
      <c r="N17" s="69"/>
      <c r="O17" s="68">
        <f t="shared" si="4"/>
        <v>0</v>
      </c>
      <c r="P17">
        <v>3.7100000000000001E-2</v>
      </c>
      <c r="Q17">
        <f t="shared" si="5"/>
        <v>2.6087554687132717</v>
      </c>
    </row>
    <row r="18" spans="2:19" x14ac:dyDescent="0.25">
      <c r="B18" s="71" t="s">
        <v>67</v>
      </c>
      <c r="C18" s="43">
        <f t="shared" si="1"/>
        <v>3.0766016490612444</v>
      </c>
      <c r="D18" s="128">
        <f t="shared" si="2"/>
        <v>5.1599999999999986E-2</v>
      </c>
      <c r="E18" s="129">
        <f t="shared" si="3"/>
        <v>1355</v>
      </c>
      <c r="F18" s="129">
        <f t="shared" si="3"/>
        <v>3728</v>
      </c>
      <c r="G18" s="129">
        <f t="shared" si="3"/>
        <v>10167</v>
      </c>
      <c r="H18" s="129">
        <f t="shared" si="3"/>
        <v>28470</v>
      </c>
      <c r="I18" s="129">
        <f t="shared" si="3"/>
        <v>56940</v>
      </c>
      <c r="K18" s="35"/>
      <c r="L18" s="36"/>
      <c r="M18" s="37"/>
      <c r="N18" s="70"/>
      <c r="O18" s="68">
        <f t="shared" si="4"/>
        <v>0</v>
      </c>
      <c r="P18">
        <v>5.16E-2</v>
      </c>
      <c r="Q18">
        <f t="shared" si="5"/>
        <v>3.0766016490612444</v>
      </c>
    </row>
    <row r="19" spans="2:19" x14ac:dyDescent="0.25">
      <c r="B19" s="72" t="s">
        <v>68</v>
      </c>
      <c r="C19" s="86">
        <f t="shared" si="1"/>
        <v>3.9230821108418881</v>
      </c>
      <c r="D19" s="131">
        <f t="shared" si="2"/>
        <v>8.3900000000000016E-2</v>
      </c>
      <c r="E19" s="132">
        <f t="shared" si="3"/>
        <v>833</v>
      </c>
      <c r="F19" s="132">
        <f t="shared" si="3"/>
        <v>2292</v>
      </c>
      <c r="G19" s="132">
        <f t="shared" si="3"/>
        <v>6253</v>
      </c>
      <c r="H19" s="132">
        <f t="shared" si="3"/>
        <v>17509</v>
      </c>
      <c r="I19" s="132">
        <f t="shared" si="3"/>
        <v>35019</v>
      </c>
      <c r="K19" s="39"/>
      <c r="L19" s="40"/>
      <c r="M19" s="41"/>
      <c r="N19" s="69"/>
      <c r="O19" s="68">
        <f t="shared" si="4"/>
        <v>0</v>
      </c>
      <c r="P19">
        <v>8.3900000000000002E-2</v>
      </c>
      <c r="Q19">
        <f t="shared" si="5"/>
        <v>3.9230821108418881</v>
      </c>
    </row>
    <row r="20" spans="2:19" x14ac:dyDescent="0.25">
      <c r="B20" s="71" t="s">
        <v>69</v>
      </c>
      <c r="C20" s="43">
        <f t="shared" si="1"/>
        <v>5.0313665819068145</v>
      </c>
      <c r="D20" s="128">
        <f t="shared" si="2"/>
        <v>0.13799999999999998</v>
      </c>
      <c r="E20" s="129">
        <f t="shared" ref="E20:I29" si="6">INT(E$5/$D20)</f>
        <v>506</v>
      </c>
      <c r="F20" s="129">
        <f t="shared" si="6"/>
        <v>1394</v>
      </c>
      <c r="G20" s="129">
        <f t="shared" si="6"/>
        <v>3801</v>
      </c>
      <c r="H20" s="129">
        <f t="shared" si="6"/>
        <v>10645</v>
      </c>
      <c r="I20" s="129">
        <f t="shared" si="6"/>
        <v>21290</v>
      </c>
      <c r="K20" s="35"/>
      <c r="L20" s="36"/>
      <c r="M20" s="37"/>
      <c r="N20" s="70"/>
      <c r="O20" s="68">
        <f t="shared" si="4"/>
        <v>0</v>
      </c>
      <c r="P20">
        <v>0.13800000000000001</v>
      </c>
      <c r="Q20">
        <f t="shared" si="5"/>
        <v>5.0313665819068145</v>
      </c>
    </row>
    <row r="21" spans="2:19" x14ac:dyDescent="0.25">
      <c r="B21" s="72" t="s">
        <v>70</v>
      </c>
      <c r="C21" s="86">
        <f t="shared" si="1"/>
        <v>5.8097217009111732</v>
      </c>
      <c r="D21" s="131">
        <f t="shared" si="2"/>
        <v>0.18400000000000002</v>
      </c>
      <c r="E21" s="132">
        <f t="shared" si="6"/>
        <v>380</v>
      </c>
      <c r="F21" s="132">
        <f t="shared" si="6"/>
        <v>1045</v>
      </c>
      <c r="G21" s="132">
        <f t="shared" si="6"/>
        <v>2851</v>
      </c>
      <c r="H21" s="132">
        <f t="shared" si="6"/>
        <v>7984</v>
      </c>
      <c r="I21" s="132">
        <f t="shared" si="6"/>
        <v>15968</v>
      </c>
      <c r="K21" s="39"/>
      <c r="L21" s="40"/>
      <c r="M21" s="41"/>
      <c r="N21" s="69"/>
      <c r="O21" s="68">
        <f t="shared" si="4"/>
        <v>0</v>
      </c>
      <c r="P21">
        <v>0.184</v>
      </c>
      <c r="Q21">
        <f t="shared" si="5"/>
        <v>5.8097217009111732</v>
      </c>
    </row>
    <row r="22" spans="2:19" x14ac:dyDescent="0.25">
      <c r="B22" s="71" t="s">
        <v>71</v>
      </c>
      <c r="C22" s="43">
        <f t="shared" si="1"/>
        <v>7.7212586017374436</v>
      </c>
      <c r="D22" s="128">
        <f t="shared" si="2"/>
        <v>0.32500000000000001</v>
      </c>
      <c r="E22" s="129">
        <f t="shared" si="6"/>
        <v>215</v>
      </c>
      <c r="F22" s="129">
        <f t="shared" si="6"/>
        <v>591</v>
      </c>
      <c r="G22" s="129">
        <f t="shared" si="6"/>
        <v>1614</v>
      </c>
      <c r="H22" s="129">
        <f t="shared" si="6"/>
        <v>4520</v>
      </c>
      <c r="I22" s="129">
        <f t="shared" si="6"/>
        <v>9040</v>
      </c>
      <c r="K22" s="35"/>
      <c r="L22" s="36"/>
      <c r="M22" s="37"/>
      <c r="N22" s="70"/>
      <c r="O22" s="68">
        <f t="shared" si="4"/>
        <v>0</v>
      </c>
      <c r="P22">
        <v>0.32500000000000001</v>
      </c>
      <c r="Q22">
        <f t="shared" si="5"/>
        <v>7.7212586017374436</v>
      </c>
    </row>
    <row r="23" spans="2:19" ht="15.75" thickBot="1" x14ac:dyDescent="0.3">
      <c r="B23" s="72" t="s">
        <v>72</v>
      </c>
      <c r="C23" s="86">
        <f t="shared" si="1"/>
        <v>8.9020143716246309</v>
      </c>
      <c r="D23" s="131">
        <f t="shared" si="2"/>
        <v>0.43200000000000011</v>
      </c>
      <c r="E23" s="132">
        <f t="shared" si="6"/>
        <v>161</v>
      </c>
      <c r="F23" s="132">
        <f t="shared" si="6"/>
        <v>445</v>
      </c>
      <c r="G23" s="132">
        <f t="shared" si="6"/>
        <v>1214</v>
      </c>
      <c r="H23" s="132">
        <f t="shared" si="6"/>
        <v>3400</v>
      </c>
      <c r="I23" s="132">
        <f t="shared" si="6"/>
        <v>6801</v>
      </c>
      <c r="K23" s="165"/>
      <c r="L23" s="166"/>
      <c r="M23" s="167"/>
      <c r="N23" s="168"/>
      <c r="O23" s="162">
        <f t="shared" si="4"/>
        <v>0</v>
      </c>
      <c r="P23">
        <v>0.432</v>
      </c>
      <c r="Q23">
        <f t="shared" si="5"/>
        <v>8.9020143716246309</v>
      </c>
    </row>
    <row r="24" spans="2:19" x14ac:dyDescent="0.25">
      <c r="B24" s="137" t="s">
        <v>58</v>
      </c>
      <c r="C24" s="138">
        <f t="shared" si="1"/>
        <v>1.3745642042452424</v>
      </c>
      <c r="D24" s="139">
        <f t="shared" si="2"/>
        <v>1.0299999999999998E-2</v>
      </c>
      <c r="E24" s="130">
        <f t="shared" si="6"/>
        <v>6791</v>
      </c>
      <c r="F24" s="130">
        <f t="shared" si="6"/>
        <v>18677</v>
      </c>
      <c r="G24" s="130">
        <f t="shared" si="6"/>
        <v>50938</v>
      </c>
      <c r="H24" s="130">
        <f t="shared" si="6"/>
        <v>142627</v>
      </c>
      <c r="I24" s="130">
        <f t="shared" si="6"/>
        <v>285255</v>
      </c>
      <c r="K24" s="172"/>
      <c r="L24" s="173"/>
      <c r="M24" s="174"/>
      <c r="N24" s="175"/>
      <c r="O24" s="194">
        <f t="shared" si="4"/>
        <v>0</v>
      </c>
      <c r="P24">
        <v>1.03E-2</v>
      </c>
      <c r="Q24">
        <f t="shared" si="5"/>
        <v>1.3745642042452424</v>
      </c>
    </row>
    <row r="25" spans="2:19" x14ac:dyDescent="0.25">
      <c r="B25" s="73" t="s">
        <v>8</v>
      </c>
      <c r="C25" s="87">
        <f t="shared" si="1"/>
        <v>2.7256741116753718</v>
      </c>
      <c r="D25" s="133">
        <f t="shared" si="2"/>
        <v>4.0500000000000015E-2</v>
      </c>
      <c r="E25" s="134">
        <f t="shared" si="6"/>
        <v>1727</v>
      </c>
      <c r="F25" s="134">
        <f t="shared" si="6"/>
        <v>4750</v>
      </c>
      <c r="G25" s="134">
        <f t="shared" si="6"/>
        <v>12954</v>
      </c>
      <c r="H25" s="134">
        <f t="shared" si="6"/>
        <v>36273</v>
      </c>
      <c r="I25" s="134">
        <f t="shared" si="6"/>
        <v>72546</v>
      </c>
      <c r="K25" s="39"/>
      <c r="L25" s="40"/>
      <c r="M25" s="41"/>
      <c r="N25" s="69"/>
      <c r="O25" s="195">
        <f t="shared" si="4"/>
        <v>0</v>
      </c>
      <c r="P25">
        <v>4.0500000000000001E-2</v>
      </c>
      <c r="Q25">
        <f t="shared" si="5"/>
        <v>2.7256741116753718</v>
      </c>
    </row>
    <row r="26" spans="2:19" x14ac:dyDescent="0.25">
      <c r="B26" s="71" t="s">
        <v>6</v>
      </c>
      <c r="C26" s="43">
        <f t="shared" si="1"/>
        <v>3.5447997257308352</v>
      </c>
      <c r="D26" s="128">
        <f t="shared" si="2"/>
        <v>6.8500000000000033E-2</v>
      </c>
      <c r="E26" s="129">
        <f t="shared" si="6"/>
        <v>1021</v>
      </c>
      <c r="F26" s="129">
        <f t="shared" si="6"/>
        <v>2808</v>
      </c>
      <c r="G26" s="129">
        <f t="shared" si="6"/>
        <v>7659</v>
      </c>
      <c r="H26" s="129">
        <f t="shared" si="6"/>
        <v>21446</v>
      </c>
      <c r="I26" s="129">
        <f t="shared" si="6"/>
        <v>42892</v>
      </c>
      <c r="K26" s="35"/>
      <c r="L26" s="36"/>
      <c r="M26" s="37"/>
      <c r="N26" s="70"/>
      <c r="O26" s="195">
        <f t="shared" si="4"/>
        <v>0</v>
      </c>
      <c r="P26">
        <v>6.8500000000000005E-2</v>
      </c>
      <c r="Q26">
        <f t="shared" si="5"/>
        <v>3.5447997257308352</v>
      </c>
    </row>
    <row r="27" spans="2:19" x14ac:dyDescent="0.25">
      <c r="B27" s="73" t="s">
        <v>0</v>
      </c>
      <c r="C27" s="87">
        <f t="shared" si="1"/>
        <v>5.3836269828477032</v>
      </c>
      <c r="D27" s="133">
        <f t="shared" si="2"/>
        <v>0.158</v>
      </c>
      <c r="E27" s="134">
        <f t="shared" si="6"/>
        <v>442</v>
      </c>
      <c r="F27" s="134">
        <f t="shared" si="6"/>
        <v>1217</v>
      </c>
      <c r="G27" s="134">
        <f t="shared" si="6"/>
        <v>3320</v>
      </c>
      <c r="H27" s="134">
        <f t="shared" si="6"/>
        <v>9297</v>
      </c>
      <c r="I27" s="134">
        <f t="shared" si="6"/>
        <v>18595</v>
      </c>
      <c r="K27" s="39"/>
      <c r="L27" s="40"/>
      <c r="M27" s="41"/>
      <c r="N27" s="69"/>
      <c r="O27" s="195">
        <f t="shared" si="4"/>
        <v>0</v>
      </c>
      <c r="P27">
        <v>0.158</v>
      </c>
      <c r="Q27">
        <f t="shared" si="5"/>
        <v>5.3836269828477032</v>
      </c>
    </row>
    <row r="28" spans="2:19" x14ac:dyDescent="0.25">
      <c r="B28" s="71" t="s">
        <v>5</v>
      </c>
      <c r="C28" s="43">
        <f t="shared" si="1"/>
        <v>6.7039298295280254</v>
      </c>
      <c r="D28" s="128">
        <f t="shared" si="2"/>
        <v>0.24499999999999997</v>
      </c>
      <c r="E28" s="129">
        <f t="shared" si="6"/>
        <v>285</v>
      </c>
      <c r="F28" s="129">
        <f t="shared" si="6"/>
        <v>785</v>
      </c>
      <c r="G28" s="129">
        <f t="shared" si="6"/>
        <v>2141</v>
      </c>
      <c r="H28" s="129">
        <f t="shared" si="6"/>
        <v>5996</v>
      </c>
      <c r="I28" s="129">
        <f t="shared" si="6"/>
        <v>11992</v>
      </c>
      <c r="K28" s="35"/>
      <c r="L28" s="36"/>
      <c r="M28" s="37"/>
      <c r="N28" s="70"/>
      <c r="O28" s="195">
        <f t="shared" si="4"/>
        <v>0</v>
      </c>
      <c r="P28">
        <v>0.245</v>
      </c>
      <c r="Q28">
        <f t="shared" si="5"/>
        <v>6.7039298295280254</v>
      </c>
    </row>
    <row r="29" spans="2:19" x14ac:dyDescent="0.25">
      <c r="B29" s="73" t="s">
        <v>1</v>
      </c>
      <c r="C29" s="87">
        <f t="shared" si="1"/>
        <v>7.6616340908891729</v>
      </c>
      <c r="D29" s="133">
        <f t="shared" si="2"/>
        <v>0.32</v>
      </c>
      <c r="E29" s="134">
        <f t="shared" si="6"/>
        <v>218</v>
      </c>
      <c r="F29" s="134">
        <f t="shared" si="6"/>
        <v>601</v>
      </c>
      <c r="G29" s="134">
        <f t="shared" si="6"/>
        <v>1639</v>
      </c>
      <c r="H29" s="134">
        <f t="shared" si="6"/>
        <v>4590</v>
      </c>
      <c r="I29" s="134">
        <f t="shared" si="6"/>
        <v>9181</v>
      </c>
      <c r="K29" s="39"/>
      <c r="L29" s="40"/>
      <c r="M29" s="41"/>
      <c r="N29" s="69"/>
      <c r="O29" s="195">
        <f t="shared" si="4"/>
        <v>0</v>
      </c>
      <c r="P29">
        <v>0.32</v>
      </c>
      <c r="Q29">
        <f t="shared" si="5"/>
        <v>7.6616340908891729</v>
      </c>
      <c r="S29" t="s">
        <v>85</v>
      </c>
    </row>
    <row r="30" spans="2:19" ht="15.75" thickBot="1" x14ac:dyDescent="0.3">
      <c r="B30" s="140" t="s">
        <v>73</v>
      </c>
      <c r="C30" s="141">
        <f>Q30</f>
        <v>8.1037853858315998</v>
      </c>
      <c r="D30" s="142">
        <f>(C30^2)*3.14/4/12/12</f>
        <v>0.35799999999999987</v>
      </c>
      <c r="E30" s="135">
        <f t="shared" ref="E30:I39" si="7">INT(E$5/$D30)</f>
        <v>195</v>
      </c>
      <c r="F30" s="135">
        <f t="shared" si="7"/>
        <v>537</v>
      </c>
      <c r="G30" s="135">
        <f t="shared" si="7"/>
        <v>1465</v>
      </c>
      <c r="H30" s="135">
        <f t="shared" si="7"/>
        <v>4103</v>
      </c>
      <c r="I30" s="135">
        <f t="shared" si="7"/>
        <v>8207</v>
      </c>
      <c r="K30" s="176"/>
      <c r="L30" s="177"/>
      <c r="M30" s="178"/>
      <c r="N30" s="179"/>
      <c r="O30" s="196">
        <f t="shared" si="4"/>
        <v>0</v>
      </c>
      <c r="P30">
        <v>0.35799999999999998</v>
      </c>
      <c r="Q30">
        <f>SQRT(P30*4/3.14)*12</f>
        <v>8.1037853858315998</v>
      </c>
    </row>
    <row r="31" spans="2:19" x14ac:dyDescent="0.25">
      <c r="B31" s="150" t="s">
        <v>143</v>
      </c>
      <c r="C31" s="147"/>
      <c r="D31" s="145">
        <v>4.5746574999999998E-2</v>
      </c>
      <c r="E31" s="183">
        <f t="shared" si="7"/>
        <v>1529</v>
      </c>
      <c r="F31" s="186">
        <f t="shared" si="7"/>
        <v>4205</v>
      </c>
      <c r="G31" s="183">
        <f t="shared" si="7"/>
        <v>11468</v>
      </c>
      <c r="H31" s="186">
        <f t="shared" si="7"/>
        <v>32113</v>
      </c>
      <c r="I31" s="186">
        <f t="shared" si="7"/>
        <v>64226</v>
      </c>
      <c r="K31" s="189"/>
      <c r="L31" s="190"/>
      <c r="M31" s="191"/>
      <c r="N31" s="192"/>
      <c r="O31" s="193">
        <f t="shared" si="4"/>
        <v>0</v>
      </c>
      <c r="P31">
        <v>4.5746574999999998E-2</v>
      </c>
    </row>
    <row r="32" spans="2:19" x14ac:dyDescent="0.25">
      <c r="B32" s="149" t="s">
        <v>144</v>
      </c>
      <c r="C32" s="136"/>
      <c r="D32" s="143">
        <v>2.5187525999999998E-2</v>
      </c>
      <c r="E32" s="160">
        <f t="shared" si="7"/>
        <v>2777</v>
      </c>
      <c r="F32" s="113">
        <f t="shared" si="7"/>
        <v>7637</v>
      </c>
      <c r="G32" s="160">
        <f t="shared" si="7"/>
        <v>20830</v>
      </c>
      <c r="H32" s="113">
        <f t="shared" si="7"/>
        <v>58325</v>
      </c>
      <c r="I32" s="113">
        <f t="shared" si="7"/>
        <v>116650</v>
      </c>
      <c r="K32" s="35"/>
      <c r="L32" s="36"/>
      <c r="M32" s="37"/>
      <c r="N32" s="70"/>
      <c r="O32" s="68">
        <f t="shared" si="4"/>
        <v>0</v>
      </c>
      <c r="P32">
        <v>2.5187525999999998E-2</v>
      </c>
    </row>
    <row r="33" spans="2:16" x14ac:dyDescent="0.25">
      <c r="B33" s="150" t="s">
        <v>145</v>
      </c>
      <c r="C33" s="147"/>
      <c r="D33" s="180">
        <v>1.7006962E-2</v>
      </c>
      <c r="E33" s="184">
        <f t="shared" si="7"/>
        <v>4113</v>
      </c>
      <c r="F33" s="187">
        <f t="shared" si="7"/>
        <v>11311</v>
      </c>
      <c r="G33" s="184">
        <f t="shared" si="7"/>
        <v>30850</v>
      </c>
      <c r="H33" s="187">
        <f t="shared" si="7"/>
        <v>86380</v>
      </c>
      <c r="I33" s="187">
        <f t="shared" si="7"/>
        <v>172760</v>
      </c>
      <c r="K33" s="39"/>
      <c r="L33" s="40"/>
      <c r="M33" s="41"/>
      <c r="N33" s="69"/>
      <c r="O33" s="68">
        <f t="shared" si="4"/>
        <v>0</v>
      </c>
      <c r="P33">
        <v>1.7006962E-2</v>
      </c>
    </row>
    <row r="34" spans="2:16" x14ac:dyDescent="0.25">
      <c r="B34" s="149" t="s">
        <v>146</v>
      </c>
      <c r="C34" s="136"/>
      <c r="D34" s="181">
        <v>1.8083352E-2</v>
      </c>
      <c r="E34" s="160">
        <f t="shared" si="7"/>
        <v>3868</v>
      </c>
      <c r="F34" s="113">
        <f t="shared" si="7"/>
        <v>10638</v>
      </c>
      <c r="G34" s="160">
        <f t="shared" si="7"/>
        <v>29013</v>
      </c>
      <c r="H34" s="113">
        <f t="shared" si="7"/>
        <v>81238</v>
      </c>
      <c r="I34" s="113">
        <f t="shared" si="7"/>
        <v>162477</v>
      </c>
      <c r="K34" s="35"/>
      <c r="L34" s="36"/>
      <c r="M34" s="37"/>
      <c r="N34" s="70"/>
      <c r="O34" s="68">
        <f t="shared" si="4"/>
        <v>0</v>
      </c>
      <c r="P34">
        <v>1.8083352E-2</v>
      </c>
    </row>
    <row r="35" spans="2:16" x14ac:dyDescent="0.25">
      <c r="B35" s="150" t="s">
        <v>147</v>
      </c>
      <c r="C35" s="147"/>
      <c r="D35" s="180">
        <v>1.1625012000000001E-2</v>
      </c>
      <c r="E35" s="184">
        <f t="shared" si="7"/>
        <v>6017</v>
      </c>
      <c r="F35" s="187">
        <f t="shared" si="7"/>
        <v>16548</v>
      </c>
      <c r="G35" s="184">
        <f t="shared" si="7"/>
        <v>45132</v>
      </c>
      <c r="H35" s="187">
        <f t="shared" si="7"/>
        <v>126371</v>
      </c>
      <c r="I35" s="187">
        <f t="shared" si="7"/>
        <v>252742</v>
      </c>
      <c r="K35" s="39"/>
      <c r="L35" s="40"/>
      <c r="M35" s="41"/>
      <c r="N35" s="69"/>
      <c r="O35" s="68">
        <f t="shared" si="4"/>
        <v>0</v>
      </c>
      <c r="P35">
        <v>1.1625012000000001E-2</v>
      </c>
    </row>
    <row r="36" spans="2:16" x14ac:dyDescent="0.25">
      <c r="B36" s="149" t="s">
        <v>148</v>
      </c>
      <c r="C36" s="136"/>
      <c r="D36" s="181">
        <v>1.0979178000000001E-2</v>
      </c>
      <c r="E36" s="160">
        <f t="shared" si="7"/>
        <v>6371</v>
      </c>
      <c r="F36" s="113">
        <f t="shared" si="7"/>
        <v>17522</v>
      </c>
      <c r="G36" s="160">
        <f t="shared" si="7"/>
        <v>47787</v>
      </c>
      <c r="H36" s="113">
        <f t="shared" si="7"/>
        <v>133804</v>
      </c>
      <c r="I36" s="113">
        <f t="shared" si="7"/>
        <v>267609</v>
      </c>
      <c r="K36" s="35"/>
      <c r="L36" s="36"/>
      <c r="M36" s="37"/>
      <c r="N36" s="70"/>
      <c r="O36" s="68">
        <f t="shared" si="4"/>
        <v>0</v>
      </c>
      <c r="P36">
        <v>1.0979178000000001E-2</v>
      </c>
    </row>
    <row r="37" spans="2:16" x14ac:dyDescent="0.25">
      <c r="B37" s="150" t="s">
        <v>149</v>
      </c>
      <c r="C37" s="147"/>
      <c r="D37" s="180">
        <v>8.9340369999999988E-3</v>
      </c>
      <c r="E37" s="184">
        <f t="shared" si="7"/>
        <v>7830</v>
      </c>
      <c r="F37" s="187">
        <f t="shared" si="7"/>
        <v>21533</v>
      </c>
      <c r="G37" s="184">
        <f t="shared" si="7"/>
        <v>58726</v>
      </c>
      <c r="H37" s="187">
        <f t="shared" si="7"/>
        <v>164434</v>
      </c>
      <c r="I37" s="187">
        <f t="shared" si="7"/>
        <v>328869</v>
      </c>
      <c r="K37" s="39"/>
      <c r="L37" s="40"/>
      <c r="M37" s="41"/>
      <c r="N37" s="69"/>
      <c r="O37" s="68">
        <f t="shared" si="4"/>
        <v>0</v>
      </c>
      <c r="P37">
        <v>8.9340369999999988E-3</v>
      </c>
    </row>
    <row r="38" spans="2:16" x14ac:dyDescent="0.25">
      <c r="B38" s="149" t="s">
        <v>150</v>
      </c>
      <c r="C38" s="136"/>
      <c r="D38" s="181">
        <v>7.7500079999999992E-3</v>
      </c>
      <c r="E38" s="160">
        <f t="shared" si="7"/>
        <v>9026</v>
      </c>
      <c r="F38" s="113">
        <f t="shared" si="7"/>
        <v>24822</v>
      </c>
      <c r="G38" s="160">
        <f t="shared" si="7"/>
        <v>67698</v>
      </c>
      <c r="H38" s="113">
        <f t="shared" si="7"/>
        <v>189556</v>
      </c>
      <c r="I38" s="113">
        <f t="shared" si="7"/>
        <v>379113</v>
      </c>
      <c r="K38" s="35"/>
      <c r="L38" s="36"/>
      <c r="M38" s="37"/>
      <c r="N38" s="70"/>
      <c r="O38" s="68">
        <f t="shared" si="4"/>
        <v>0</v>
      </c>
      <c r="P38">
        <v>7.7500079999999992E-3</v>
      </c>
    </row>
    <row r="39" spans="2:16" x14ac:dyDescent="0.25">
      <c r="B39" s="150" t="s">
        <v>151</v>
      </c>
      <c r="C39" s="147"/>
      <c r="D39" s="180">
        <v>6.4583399999999999E-3</v>
      </c>
      <c r="E39" s="184">
        <f t="shared" si="7"/>
        <v>10831</v>
      </c>
      <c r="F39" s="187">
        <f t="shared" si="7"/>
        <v>29787</v>
      </c>
      <c r="G39" s="184">
        <f t="shared" si="7"/>
        <v>81238</v>
      </c>
      <c r="H39" s="187">
        <f t="shared" si="7"/>
        <v>227468</v>
      </c>
      <c r="I39" s="187">
        <f t="shared" si="7"/>
        <v>454936</v>
      </c>
      <c r="K39" s="39"/>
      <c r="L39" s="40"/>
      <c r="M39" s="41"/>
      <c r="N39" s="69"/>
      <c r="O39" s="68">
        <f t="shared" si="4"/>
        <v>0</v>
      </c>
      <c r="P39">
        <v>6.4583399999999999E-3</v>
      </c>
    </row>
    <row r="40" spans="2:16" x14ac:dyDescent="0.25">
      <c r="B40" s="149" t="s">
        <v>152</v>
      </c>
      <c r="C40" s="136"/>
      <c r="D40" s="181">
        <v>4.0902819999999998E-3</v>
      </c>
      <c r="E40" s="160">
        <f t="shared" ref="E40:I47" si="8">INT(E$5/$D40)</f>
        <v>17102</v>
      </c>
      <c r="F40" s="113">
        <f t="shared" si="8"/>
        <v>47032</v>
      </c>
      <c r="G40" s="160">
        <f t="shared" si="8"/>
        <v>128271</v>
      </c>
      <c r="H40" s="113">
        <f t="shared" si="8"/>
        <v>359160</v>
      </c>
      <c r="I40" s="113">
        <f t="shared" si="8"/>
        <v>718320</v>
      </c>
      <c r="K40" s="35"/>
      <c r="L40" s="36"/>
      <c r="M40" s="37"/>
      <c r="N40" s="70"/>
      <c r="O40" s="68">
        <f t="shared" si="4"/>
        <v>0</v>
      </c>
      <c r="P40">
        <v>4.0902819999999998E-3</v>
      </c>
    </row>
    <row r="41" spans="2:16" x14ac:dyDescent="0.25">
      <c r="B41" s="150" t="s">
        <v>153</v>
      </c>
      <c r="C41" s="147"/>
      <c r="D41" s="180">
        <v>3.336809E-3</v>
      </c>
      <c r="E41" s="184">
        <f t="shared" si="8"/>
        <v>20964</v>
      </c>
      <c r="F41" s="187">
        <f t="shared" si="8"/>
        <v>57653</v>
      </c>
      <c r="G41" s="184">
        <f t="shared" si="8"/>
        <v>157236</v>
      </c>
      <c r="H41" s="187">
        <f t="shared" si="8"/>
        <v>440261</v>
      </c>
      <c r="I41" s="187">
        <f t="shared" si="8"/>
        <v>880522</v>
      </c>
      <c r="K41" s="39"/>
      <c r="L41" s="40"/>
      <c r="M41" s="41"/>
      <c r="N41" s="69"/>
      <c r="O41" s="68">
        <f t="shared" si="4"/>
        <v>0</v>
      </c>
      <c r="P41">
        <v>3.336809E-3</v>
      </c>
    </row>
    <row r="42" spans="2:16" x14ac:dyDescent="0.25">
      <c r="B42" s="149" t="s">
        <v>154</v>
      </c>
      <c r="C42" s="136"/>
      <c r="D42" s="181">
        <v>2.5833359999999999E-3</v>
      </c>
      <c r="E42" s="160">
        <f t="shared" si="8"/>
        <v>27079</v>
      </c>
      <c r="F42" s="113">
        <f t="shared" si="8"/>
        <v>74468</v>
      </c>
      <c r="G42" s="160">
        <f t="shared" si="8"/>
        <v>203096</v>
      </c>
      <c r="H42" s="113">
        <f t="shared" si="8"/>
        <v>568670</v>
      </c>
      <c r="I42" s="113">
        <f t="shared" si="8"/>
        <v>1137341</v>
      </c>
      <c r="K42" s="35"/>
      <c r="L42" s="36"/>
      <c r="M42" s="37"/>
      <c r="N42" s="70"/>
      <c r="O42" s="68">
        <f t="shared" si="4"/>
        <v>0</v>
      </c>
      <c r="P42">
        <v>2.5833359999999999E-3</v>
      </c>
    </row>
    <row r="43" spans="2:16" x14ac:dyDescent="0.25">
      <c r="B43" s="150" t="s">
        <v>155</v>
      </c>
      <c r="C43" s="147"/>
      <c r="D43" s="180">
        <v>1.9375019999999998E-3</v>
      </c>
      <c r="E43" s="184">
        <f t="shared" si="8"/>
        <v>36106</v>
      </c>
      <c r="F43" s="187">
        <f t="shared" si="8"/>
        <v>99291</v>
      </c>
      <c r="G43" s="184">
        <f t="shared" si="8"/>
        <v>270795</v>
      </c>
      <c r="H43" s="187">
        <f t="shared" si="8"/>
        <v>758227</v>
      </c>
      <c r="I43" s="187">
        <f t="shared" si="8"/>
        <v>1516454</v>
      </c>
      <c r="K43" s="39"/>
      <c r="L43" s="40"/>
      <c r="M43" s="41"/>
      <c r="N43" s="69"/>
      <c r="O43" s="68">
        <f t="shared" si="4"/>
        <v>0</v>
      </c>
      <c r="P43">
        <v>1.9375019999999998E-3</v>
      </c>
    </row>
    <row r="44" spans="2:16" x14ac:dyDescent="0.25">
      <c r="B44" s="149" t="s">
        <v>156</v>
      </c>
      <c r="C44" s="136"/>
      <c r="D44" s="181">
        <v>1.1840290000000001E-3</v>
      </c>
      <c r="E44" s="160">
        <f t="shared" si="8"/>
        <v>59082</v>
      </c>
      <c r="F44" s="113">
        <f t="shared" si="8"/>
        <v>162477</v>
      </c>
      <c r="G44" s="160">
        <f t="shared" si="8"/>
        <v>443119</v>
      </c>
      <c r="H44" s="113">
        <f t="shared" si="8"/>
        <v>1240735</v>
      </c>
      <c r="I44" s="113">
        <f t="shared" si="8"/>
        <v>2481471</v>
      </c>
      <c r="K44" s="35"/>
      <c r="L44" s="36"/>
      <c r="M44" s="37"/>
      <c r="N44" s="70"/>
      <c r="O44" s="68">
        <f>(SUM(K44:N44))*$D44</f>
        <v>0</v>
      </c>
      <c r="P44">
        <v>1.1840290000000001E-3</v>
      </c>
    </row>
    <row r="45" spans="2:16" x14ac:dyDescent="0.25">
      <c r="B45" s="150" t="s">
        <v>157</v>
      </c>
      <c r="C45" s="147"/>
      <c r="D45" s="180">
        <v>8.6111200000000003E-4</v>
      </c>
      <c r="E45" s="184">
        <f t="shared" si="8"/>
        <v>81238</v>
      </c>
      <c r="F45" s="187">
        <f t="shared" si="8"/>
        <v>223406</v>
      </c>
      <c r="G45" s="184">
        <f t="shared" si="8"/>
        <v>609289</v>
      </c>
      <c r="H45" s="187">
        <f t="shared" si="8"/>
        <v>1706011</v>
      </c>
      <c r="I45" s="187">
        <f t="shared" si="8"/>
        <v>3412023</v>
      </c>
      <c r="K45" s="39"/>
      <c r="L45" s="40"/>
      <c r="M45" s="41"/>
      <c r="N45" s="69"/>
      <c r="O45" s="68">
        <f t="shared" si="4"/>
        <v>0</v>
      </c>
      <c r="P45">
        <v>8.6111200000000003E-4</v>
      </c>
    </row>
    <row r="46" spans="2:16" x14ac:dyDescent="0.25">
      <c r="B46" s="149" t="s">
        <v>158</v>
      </c>
      <c r="C46" s="136"/>
      <c r="D46" s="181">
        <v>6.4583399999999997E-4</v>
      </c>
      <c r="E46" s="160">
        <f t="shared" si="8"/>
        <v>108318</v>
      </c>
      <c r="F46" s="113">
        <f t="shared" si="8"/>
        <v>297875</v>
      </c>
      <c r="G46" s="160">
        <f t="shared" si="8"/>
        <v>812386</v>
      </c>
      <c r="H46" s="113">
        <f t="shared" si="8"/>
        <v>2274682</v>
      </c>
      <c r="I46" s="113">
        <f t="shared" si="8"/>
        <v>4549364</v>
      </c>
      <c r="K46" s="35"/>
      <c r="L46" s="36"/>
      <c r="M46" s="37"/>
      <c r="N46" s="70"/>
      <c r="O46" s="68">
        <f t="shared" si="4"/>
        <v>0</v>
      </c>
      <c r="P46">
        <v>6.4583399999999997E-4</v>
      </c>
    </row>
    <row r="47" spans="2:16" ht="15.75" thickBot="1" x14ac:dyDescent="0.3">
      <c r="B47" s="151" t="s">
        <v>159</v>
      </c>
      <c r="C47" s="147"/>
      <c r="D47" s="182">
        <v>3.2291699999999998E-4</v>
      </c>
      <c r="E47" s="185">
        <f t="shared" si="8"/>
        <v>216636</v>
      </c>
      <c r="F47" s="188">
        <f t="shared" si="8"/>
        <v>595750</v>
      </c>
      <c r="G47" s="185">
        <f t="shared" si="8"/>
        <v>1624773</v>
      </c>
      <c r="H47" s="188">
        <f t="shared" si="8"/>
        <v>4549364</v>
      </c>
      <c r="I47" s="188">
        <f t="shared" si="8"/>
        <v>9098729</v>
      </c>
      <c r="K47" s="39"/>
      <c r="L47" s="40"/>
      <c r="M47" s="41"/>
      <c r="N47" s="69"/>
      <c r="O47" s="68">
        <f t="shared" si="4"/>
        <v>0</v>
      </c>
      <c r="P47">
        <v>3.2291699999999998E-4</v>
      </c>
    </row>
    <row r="48" spans="2:16" ht="15.75" thickBot="1" x14ac:dyDescent="0.3">
      <c r="B48" s="146"/>
      <c r="C48" s="75"/>
      <c r="D48" s="75"/>
      <c r="E48" s="75"/>
      <c r="F48" s="75"/>
      <c r="G48" s="75"/>
      <c r="H48" s="75"/>
      <c r="I48" s="76"/>
      <c r="K48" s="247" t="s">
        <v>74</v>
      </c>
      <c r="L48" s="248"/>
      <c r="M48" s="248"/>
      <c r="N48" s="249"/>
      <c r="O48" s="42">
        <f>ROUND(SUM(O10:O47),2)</f>
        <v>0</v>
      </c>
    </row>
    <row r="49" spans="2:15" ht="15.75" thickBot="1" x14ac:dyDescent="0.3">
      <c r="B49" s="74"/>
      <c r="C49" s="75"/>
      <c r="D49" s="75"/>
      <c r="E49" s="75"/>
      <c r="F49" s="75"/>
      <c r="G49" s="75"/>
      <c r="H49" s="75"/>
      <c r="I49" s="76"/>
      <c r="K49" s="247" t="s">
        <v>138</v>
      </c>
      <c r="L49" s="248"/>
      <c r="M49" s="248"/>
      <c r="N49" s="249"/>
      <c r="O49" s="10" t="str">
        <f>IF(O48&lt;=E5,E2,IF(O48&lt;=F5,F2,IF(O48&lt;=G5,G2,IF(O48&lt;=H5,H2,IF(O48&lt;=I5,I2,"N/A")))))</f>
        <v>BD210W Series</v>
      </c>
    </row>
    <row r="50" spans="2:15" ht="15.75" thickBot="1" x14ac:dyDescent="0.3">
      <c r="B50" s="32"/>
      <c r="C50" s="33"/>
      <c r="D50" s="33"/>
      <c r="E50" s="33"/>
      <c r="F50" s="33"/>
      <c r="G50" s="33"/>
      <c r="H50" s="33"/>
      <c r="I50" s="34"/>
      <c r="K50" s="241" t="s">
        <v>130</v>
      </c>
      <c r="L50" s="242"/>
      <c r="M50" s="242"/>
      <c r="N50" s="243"/>
      <c r="O50" s="202">
        <f>IF(O49=E2,(O48*((B9+14.7)/14.7)/E3)/60,IF(O49=F2,(O48*((B9+14.7)/14.7)/F3)/60,IF(O49=G2,(O48*((B9+14.7)/14.7)/G3)/60,IF(O49=H2,(O48*((B9+14.7)/14.7)/H3)/60,IF(O49=I2,(O48*((B9+14.7)/14.7)/I3)/60)))))</f>
        <v>0</v>
      </c>
    </row>
    <row r="89" spans="5:9" x14ac:dyDescent="0.25">
      <c r="E89" s="1"/>
      <c r="F89" s="1"/>
      <c r="G89" s="1"/>
      <c r="H89" s="1"/>
      <c r="I89" s="1"/>
    </row>
    <row r="90" spans="5:9" x14ac:dyDescent="0.25">
      <c r="E90" s="1"/>
      <c r="F90" s="1"/>
      <c r="G90" s="1"/>
      <c r="H90" s="1"/>
      <c r="I90" s="1"/>
    </row>
    <row r="91" spans="5:9" x14ac:dyDescent="0.25">
      <c r="E91" s="1"/>
      <c r="F91" s="1"/>
      <c r="G91" s="1"/>
      <c r="H91" s="1"/>
      <c r="I91" s="1"/>
    </row>
    <row r="92" spans="5:9" x14ac:dyDescent="0.25">
      <c r="E92" s="1"/>
      <c r="F92" s="1"/>
      <c r="G92" s="1"/>
      <c r="H92" s="1"/>
      <c r="I92" s="1"/>
    </row>
    <row r="93" spans="5:9" x14ac:dyDescent="0.25">
      <c r="E93" s="1"/>
      <c r="F93" s="1"/>
      <c r="G93" s="1"/>
      <c r="H93" s="1"/>
      <c r="I93" s="1"/>
    </row>
    <row r="94" spans="5:9" x14ac:dyDescent="0.25">
      <c r="E94" s="1"/>
      <c r="F94" s="1"/>
      <c r="G94" s="1"/>
      <c r="H94" s="1"/>
      <c r="I94" s="1"/>
    </row>
    <row r="95" spans="5:9" x14ac:dyDescent="0.25">
      <c r="E95" s="1"/>
      <c r="F95" s="1"/>
      <c r="G95" s="1"/>
      <c r="H95" s="1"/>
      <c r="I95" s="1"/>
    </row>
    <row r="96" spans="5:9" x14ac:dyDescent="0.25">
      <c r="E96" s="1"/>
      <c r="F96" s="1"/>
      <c r="G96" s="1"/>
      <c r="H96" s="1"/>
      <c r="I96" s="1"/>
    </row>
    <row r="97" spans="5:9" x14ac:dyDescent="0.25">
      <c r="E97" s="1"/>
      <c r="F97" s="1"/>
      <c r="G97" s="1"/>
      <c r="H97" s="1"/>
      <c r="I97" s="1"/>
    </row>
    <row r="98" spans="5:9" x14ac:dyDescent="0.25">
      <c r="E98" s="1"/>
      <c r="F98" s="1"/>
      <c r="G98" s="1"/>
      <c r="H98" s="1"/>
      <c r="I98" s="1"/>
    </row>
  </sheetData>
  <sheetProtection algorithmName="SHA-512" hashValue="RJBvHKbD34vfEaxjBGyU6AKr/t2M50e8EF5pr/LEG2pGfgGRzl8ZIasXmultv65NrAJLmSg7ODprVBcO1vqJVg==" saltValue="QhE1l/b1gGMB57Xzn/9sJA==" spinCount="100000" sheet="1" objects="1" scenarios="1"/>
  <mergeCells count="11">
    <mergeCell ref="E6:I9"/>
    <mergeCell ref="D6:D9"/>
    <mergeCell ref="K3:O8"/>
    <mergeCell ref="C2:D2"/>
    <mergeCell ref="K50:N50"/>
    <mergeCell ref="K2:O2"/>
    <mergeCell ref="K48:N48"/>
    <mergeCell ref="K49:N49"/>
    <mergeCell ref="C3:D3"/>
    <mergeCell ref="C4:D4"/>
    <mergeCell ref="C5:D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336AD08-B641-4A31-8E5F-F4DE00D9B5BE}">
          <x14:formula1>
            <xm:f>Sheet1!A2:A7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8A11-16A3-4FEC-B513-EDD5A5CC7ECC}">
  <dimension ref="B1:S98"/>
  <sheetViews>
    <sheetView showGridLines="0" tabSelected="1" zoomScaleNormal="100" workbookViewId="0">
      <selection activeCell="E17" sqref="E17"/>
    </sheetView>
  </sheetViews>
  <sheetFormatPr defaultRowHeight="15" x14ac:dyDescent="0.25"/>
  <cols>
    <col min="1" max="1" width="5.140625" customWidth="1"/>
    <col min="2" max="2" width="24.28515625" customWidth="1"/>
    <col min="3" max="3" width="11.5703125" hidden="1" customWidth="1"/>
    <col min="4" max="4" width="19.140625" customWidth="1"/>
    <col min="5" max="6" width="14.42578125" bestFit="1" customWidth="1"/>
    <col min="7" max="9" width="15.42578125" bestFit="1" customWidth="1"/>
    <col min="10" max="10" width="2.42578125" customWidth="1"/>
    <col min="11" max="14" width="12.140625" customWidth="1"/>
    <col min="15" max="15" width="14.5703125" customWidth="1"/>
    <col min="16" max="18" width="9.140625" hidden="1" customWidth="1"/>
    <col min="19" max="19" width="12" hidden="1" customWidth="1"/>
  </cols>
  <sheetData>
    <row r="1" spans="2:19" ht="15.75" thickBot="1" x14ac:dyDescent="0.3">
      <c r="B1" t="s">
        <v>171</v>
      </c>
    </row>
    <row r="2" spans="2:19" ht="15.75" thickBot="1" x14ac:dyDescent="0.3">
      <c r="B2" s="116" t="s">
        <v>141</v>
      </c>
      <c r="C2" s="239" t="s">
        <v>2</v>
      </c>
      <c r="D2" s="240"/>
      <c r="E2" s="67" t="s">
        <v>80</v>
      </c>
      <c r="F2" s="23" t="s">
        <v>81</v>
      </c>
      <c r="G2" s="23" t="s">
        <v>82</v>
      </c>
      <c r="H2" s="23" t="s">
        <v>83</v>
      </c>
      <c r="I2" s="24" t="s">
        <v>84</v>
      </c>
      <c r="K2" s="244" t="s">
        <v>137</v>
      </c>
      <c r="L2" s="245"/>
      <c r="M2" s="245"/>
      <c r="N2" s="245"/>
      <c r="O2" s="246"/>
    </row>
    <row r="3" spans="2:19" ht="15.75" customHeight="1" thickBot="1" x14ac:dyDescent="0.3">
      <c r="B3" s="208" t="s">
        <v>167</v>
      </c>
      <c r="C3" s="300" t="s">
        <v>103</v>
      </c>
      <c r="D3" s="251"/>
      <c r="E3" s="88">
        <f>E4/1440</f>
        <v>3.9583333333333337E-3</v>
      </c>
      <c r="F3" s="89">
        <f>F4/1440</f>
        <v>1.0833333333333334E-2</v>
      </c>
      <c r="G3" s="88">
        <f>G4/1440</f>
        <v>2.9513888888888888E-2</v>
      </c>
      <c r="H3" s="90">
        <f>H4/1440</f>
        <v>8.2638888888888887E-2</v>
      </c>
      <c r="I3" s="89">
        <f>I4/1440</f>
        <v>0.16527777777777777</v>
      </c>
      <c r="K3" s="230" t="s">
        <v>160</v>
      </c>
      <c r="L3" s="231"/>
      <c r="M3" s="231"/>
      <c r="N3" s="231"/>
      <c r="O3" s="232"/>
    </row>
    <row r="4" spans="2:19" ht="15.75" thickBot="1" x14ac:dyDescent="0.3">
      <c r="B4" s="217" t="s">
        <v>166</v>
      </c>
      <c r="C4" s="300" t="s">
        <v>104</v>
      </c>
      <c r="D4" s="251"/>
      <c r="E4" s="25">
        <v>5.7</v>
      </c>
      <c r="F4" s="26">
        <v>15.6</v>
      </c>
      <c r="G4" s="25">
        <v>42.5</v>
      </c>
      <c r="H4" s="27">
        <v>119</v>
      </c>
      <c r="I4" s="28">
        <v>238</v>
      </c>
      <c r="K4" s="233"/>
      <c r="L4" s="301"/>
      <c r="M4" s="301"/>
      <c r="N4" s="301"/>
      <c r="O4" s="235"/>
    </row>
    <row r="5" spans="2:19" ht="15.75" thickBot="1" x14ac:dyDescent="0.3">
      <c r="B5" s="211">
        <f>IF(B4=Sheet1!A10,Sheet1!B10,IF(B4=Sheet1!A11,Sheet1!B11,IF(B4=Sheet1!A12,Sheet1!B12,IF(B4=Sheet1!A13,Sheet1!B13,IF(B4=Sheet1!A14,Sheet1!B14,IF(B4=Sheet1!A15,Sheet1!B15,"N/A"))))))</f>
        <v>1</v>
      </c>
      <c r="C5" s="300" t="s">
        <v>107</v>
      </c>
      <c r="D5" s="300"/>
      <c r="E5" s="95">
        <f>$B$5*($B$7*60*101.35*E3)/($B$9+101.35)</f>
        <v>1.9933347902097907</v>
      </c>
      <c r="F5" s="95">
        <f t="shared" ref="F5:I5" si="0">$B$5*($B$7*60*101.35*F3)/($B$9+101.35)</f>
        <v>5.4554425837320579</v>
      </c>
      <c r="G5" s="95">
        <f t="shared" si="0"/>
        <v>14.862583962090541</v>
      </c>
      <c r="H5" s="95">
        <f t="shared" si="0"/>
        <v>41.615235093853514</v>
      </c>
      <c r="I5" s="95">
        <f t="shared" si="0"/>
        <v>83.230470187707027</v>
      </c>
      <c r="K5" s="233"/>
      <c r="L5" s="301"/>
      <c r="M5" s="301"/>
      <c r="N5" s="301"/>
      <c r="O5" s="235"/>
    </row>
    <row r="6" spans="2:19" ht="15.75" customHeight="1" thickBot="1" x14ac:dyDescent="0.3">
      <c r="B6" s="213" t="s">
        <v>132</v>
      </c>
      <c r="C6" s="300" t="s">
        <v>106</v>
      </c>
      <c r="D6" s="251"/>
      <c r="E6" s="29">
        <f>E5*100*100*100</f>
        <v>1993334.7902097907</v>
      </c>
      <c r="F6" s="29">
        <f>F5*100*100*100</f>
        <v>5455442.5837320583</v>
      </c>
      <c r="G6" s="29">
        <f>G5*100*100*100</f>
        <v>14862583.962090541</v>
      </c>
      <c r="H6" s="29">
        <f>H5*100*100*100</f>
        <v>41615235.093853518</v>
      </c>
      <c r="I6" s="30">
        <f>I5*100*100*100</f>
        <v>83230470.187707037</v>
      </c>
      <c r="K6" s="233"/>
      <c r="L6" s="301"/>
      <c r="M6" s="301"/>
      <c r="N6" s="301"/>
      <c r="O6" s="235"/>
    </row>
    <row r="7" spans="2:19" ht="15.75" thickBot="1" x14ac:dyDescent="0.3">
      <c r="B7" s="214">
        <v>11.25</v>
      </c>
      <c r="C7" s="300" t="s">
        <v>118</v>
      </c>
      <c r="D7" s="251"/>
      <c r="E7" s="117">
        <f>E6/1000</f>
        <v>1993.3347902097908</v>
      </c>
      <c r="F7" s="117">
        <f>F6/1000</f>
        <v>5455.4425837320587</v>
      </c>
      <c r="G7" s="117">
        <f>G6/1000</f>
        <v>14862.583962090541</v>
      </c>
      <c r="H7" s="117">
        <f>H6/1000</f>
        <v>41615.235093853516</v>
      </c>
      <c r="I7" s="118">
        <f>I6/1000</f>
        <v>83230.470187707033</v>
      </c>
      <c r="K7" s="236"/>
      <c r="L7" s="237"/>
      <c r="M7" s="237"/>
      <c r="N7" s="237"/>
      <c r="O7" s="238"/>
    </row>
    <row r="8" spans="2:19" ht="15.75" thickBot="1" x14ac:dyDescent="0.3">
      <c r="B8" s="215" t="s">
        <v>133</v>
      </c>
      <c r="C8" s="119"/>
      <c r="D8" s="227" t="s">
        <v>117</v>
      </c>
      <c r="E8" s="218" t="s">
        <v>108</v>
      </c>
      <c r="F8" s="219"/>
      <c r="G8" s="219"/>
      <c r="H8" s="219"/>
      <c r="I8" s="220"/>
      <c r="K8" s="101"/>
      <c r="L8" s="102"/>
      <c r="M8" s="102"/>
      <c r="N8" s="102"/>
      <c r="O8" s="103"/>
    </row>
    <row r="9" spans="2:19" ht="18.75" customHeight="1" thickBot="1" x14ac:dyDescent="0.3">
      <c r="B9" s="216">
        <v>34.5</v>
      </c>
      <c r="C9" s="115" t="s">
        <v>105</v>
      </c>
      <c r="D9" s="229"/>
      <c r="E9" s="224"/>
      <c r="F9" s="225"/>
      <c r="G9" s="225"/>
      <c r="H9" s="225"/>
      <c r="I9" s="226"/>
      <c r="K9" s="82" t="s">
        <v>109</v>
      </c>
      <c r="L9" s="83" t="s">
        <v>110</v>
      </c>
      <c r="M9" s="83" t="s">
        <v>111</v>
      </c>
      <c r="N9" s="84" t="s">
        <v>112</v>
      </c>
      <c r="O9" s="85" t="s">
        <v>119</v>
      </c>
      <c r="P9" s="94" t="s">
        <v>115</v>
      </c>
      <c r="Q9" s="94" t="s">
        <v>113</v>
      </c>
      <c r="R9" s="94" t="s">
        <v>114</v>
      </c>
      <c r="S9" s="94" t="s">
        <v>116</v>
      </c>
    </row>
    <row r="10" spans="2:19" x14ac:dyDescent="0.25">
      <c r="B10" s="71" t="s">
        <v>59</v>
      </c>
      <c r="C10" s="79">
        <f>R10</f>
        <v>1.1666190248082646</v>
      </c>
      <c r="D10" s="43">
        <f>S10</f>
        <v>0.10683859939241352</v>
      </c>
      <c r="E10" s="91">
        <f>INT(E$7/$D10)</f>
        <v>18657</v>
      </c>
      <c r="F10" s="91">
        <f>INT(F$7/$D10)</f>
        <v>51062</v>
      </c>
      <c r="G10" s="91">
        <f>INT(G$7/$D10)</f>
        <v>139112</v>
      </c>
      <c r="H10" s="91">
        <f>INT(H$7/$D10)</f>
        <v>389514</v>
      </c>
      <c r="I10" s="111">
        <f>INT(I$7/$D10)</f>
        <v>779029</v>
      </c>
      <c r="K10" s="35"/>
      <c r="L10" s="36"/>
      <c r="M10" s="37"/>
      <c r="N10" s="70"/>
      <c r="O10" s="68">
        <f>(SUM(K10:N10))*D10</f>
        <v>0</v>
      </c>
      <c r="P10">
        <v>1.15E-3</v>
      </c>
      <c r="Q10">
        <f>SQRT(P10*4/3.14)*12</f>
        <v>0.45929882866467109</v>
      </c>
      <c r="R10">
        <f>Q10*2.54</f>
        <v>1.1666190248082646</v>
      </c>
      <c r="S10">
        <f>P10/0.0107639</f>
        <v>0.10683859939241352</v>
      </c>
    </row>
    <row r="11" spans="2:19" x14ac:dyDescent="0.25">
      <c r="B11" s="72" t="s">
        <v>60</v>
      </c>
      <c r="C11" s="80">
        <f t="shared" ref="C11:D29" si="1">R11</f>
        <v>1.3054534200219989</v>
      </c>
      <c r="D11" s="86">
        <f t="shared" si="1"/>
        <v>0.13378050706528305</v>
      </c>
      <c r="E11" s="92">
        <f t="shared" ref="E11:I29" si="2">INT(E$7/$D11)</f>
        <v>14900</v>
      </c>
      <c r="F11" s="92">
        <f t="shared" si="2"/>
        <v>40779</v>
      </c>
      <c r="G11" s="92">
        <f t="shared" si="2"/>
        <v>111096</v>
      </c>
      <c r="H11" s="92">
        <f t="shared" si="2"/>
        <v>311070</v>
      </c>
      <c r="I11" s="112">
        <f t="shared" si="2"/>
        <v>622141</v>
      </c>
      <c r="K11" s="39"/>
      <c r="L11" s="40"/>
      <c r="M11" s="41"/>
      <c r="N11" s="69"/>
      <c r="O11" s="68">
        <f t="shared" ref="O11:O29" si="3">(SUM(K11:N11))*D11</f>
        <v>0</v>
      </c>
      <c r="P11">
        <v>1.4400000000000001E-3</v>
      </c>
      <c r="Q11">
        <f t="shared" ref="Q11:Q23" si="4">SQRT(P11*4/3.14)*12</f>
        <v>0.51395803937873974</v>
      </c>
      <c r="R11">
        <f t="shared" ref="R11:R29" si="5">Q11*2.54</f>
        <v>1.3054534200219989</v>
      </c>
      <c r="S11">
        <f t="shared" ref="S11:S29" si="6">P11/0.0107639</f>
        <v>0.13378050706528305</v>
      </c>
    </row>
    <row r="12" spans="2:19" x14ac:dyDescent="0.25">
      <c r="B12" s="71" t="s">
        <v>61</v>
      </c>
      <c r="C12" s="79">
        <f t="shared" si="1"/>
        <v>1.794174113358173</v>
      </c>
      <c r="D12" s="43">
        <f t="shared" si="1"/>
        <v>0.25269651334553461</v>
      </c>
      <c r="E12" s="91">
        <f t="shared" si="2"/>
        <v>7888</v>
      </c>
      <c r="F12" s="91">
        <f t="shared" si="2"/>
        <v>21588</v>
      </c>
      <c r="G12" s="91">
        <f t="shared" si="2"/>
        <v>58815</v>
      </c>
      <c r="H12" s="91">
        <f t="shared" si="2"/>
        <v>164684</v>
      </c>
      <c r="I12" s="113">
        <f t="shared" si="2"/>
        <v>329369</v>
      </c>
      <c r="K12" s="35"/>
      <c r="L12" s="36"/>
      <c r="M12" s="37"/>
      <c r="N12" s="70"/>
      <c r="O12" s="68">
        <f t="shared" si="3"/>
        <v>0</v>
      </c>
      <c r="P12">
        <v>2.7200000000000002E-3</v>
      </c>
      <c r="Q12">
        <f t="shared" si="4"/>
        <v>0.70636776116463507</v>
      </c>
      <c r="R12">
        <f t="shared" si="5"/>
        <v>1.794174113358173</v>
      </c>
      <c r="S12">
        <f t="shared" si="6"/>
        <v>0.25269651334553461</v>
      </c>
    </row>
    <row r="13" spans="2:19" x14ac:dyDescent="0.25">
      <c r="B13" s="72" t="s">
        <v>62</v>
      </c>
      <c r="C13" s="80">
        <f t="shared" si="1"/>
        <v>2.3859023914770803</v>
      </c>
      <c r="D13" s="86">
        <f t="shared" si="1"/>
        <v>0.44686405485000791</v>
      </c>
      <c r="E13" s="92">
        <f t="shared" si="2"/>
        <v>4460</v>
      </c>
      <c r="F13" s="92">
        <f t="shared" si="2"/>
        <v>12208</v>
      </c>
      <c r="G13" s="92">
        <f t="shared" si="2"/>
        <v>33259</v>
      </c>
      <c r="H13" s="92">
        <f t="shared" si="2"/>
        <v>93127</v>
      </c>
      <c r="I13" s="112">
        <f t="shared" si="2"/>
        <v>186254</v>
      </c>
      <c r="K13" s="39"/>
      <c r="L13" s="40"/>
      <c r="M13" s="41"/>
      <c r="N13" s="69"/>
      <c r="O13" s="68">
        <f t="shared" si="3"/>
        <v>0</v>
      </c>
      <c r="P13">
        <v>4.81E-3</v>
      </c>
      <c r="Q13">
        <f t="shared" si="4"/>
        <v>0.93933165018782683</v>
      </c>
      <c r="R13">
        <f t="shared" si="5"/>
        <v>2.3859023914770803</v>
      </c>
      <c r="S13">
        <f t="shared" si="6"/>
        <v>0.44686405485000791</v>
      </c>
    </row>
    <row r="14" spans="2:19" x14ac:dyDescent="0.25">
      <c r="B14" s="71" t="s">
        <v>63</v>
      </c>
      <c r="C14" s="79">
        <f t="shared" si="1"/>
        <v>3.0961546398944817</v>
      </c>
      <c r="D14" s="43">
        <f t="shared" si="1"/>
        <v>0.75251535224221699</v>
      </c>
      <c r="E14" s="91">
        <f t="shared" si="2"/>
        <v>2648</v>
      </c>
      <c r="F14" s="91">
        <f t="shared" si="2"/>
        <v>7249</v>
      </c>
      <c r="G14" s="91">
        <f t="shared" si="2"/>
        <v>19750</v>
      </c>
      <c r="H14" s="91">
        <f t="shared" si="2"/>
        <v>55301</v>
      </c>
      <c r="I14" s="113">
        <f t="shared" si="2"/>
        <v>110603</v>
      </c>
      <c r="K14" s="35"/>
      <c r="L14" s="36"/>
      <c r="M14" s="37"/>
      <c r="N14" s="70"/>
      <c r="O14" s="68">
        <f t="shared" si="3"/>
        <v>0</v>
      </c>
      <c r="P14">
        <v>8.0999999999999996E-3</v>
      </c>
      <c r="Q14">
        <f t="shared" si="4"/>
        <v>1.2189585196434967</v>
      </c>
      <c r="R14">
        <f t="shared" si="5"/>
        <v>3.0961546398944817</v>
      </c>
      <c r="S14">
        <f t="shared" si="6"/>
        <v>0.75251535224221699</v>
      </c>
    </row>
    <row r="15" spans="2:19" x14ac:dyDescent="0.25">
      <c r="B15" s="72" t="s">
        <v>64</v>
      </c>
      <c r="C15" s="80">
        <f t="shared" si="1"/>
        <v>4.2691409598456511</v>
      </c>
      <c r="D15" s="86">
        <f t="shared" si="1"/>
        <v>1.4307082005592768</v>
      </c>
      <c r="E15" s="92">
        <f t="shared" si="2"/>
        <v>1393</v>
      </c>
      <c r="F15" s="92">
        <f t="shared" si="2"/>
        <v>3813</v>
      </c>
      <c r="G15" s="92">
        <f t="shared" si="2"/>
        <v>10388</v>
      </c>
      <c r="H15" s="92">
        <f t="shared" si="2"/>
        <v>29087</v>
      </c>
      <c r="I15" s="112">
        <f t="shared" si="2"/>
        <v>58174</v>
      </c>
      <c r="K15" s="39"/>
      <c r="L15" s="40"/>
      <c r="M15" s="41"/>
      <c r="N15" s="69"/>
      <c r="O15" s="68">
        <f t="shared" si="3"/>
        <v>0</v>
      </c>
      <c r="P15">
        <v>1.54E-2</v>
      </c>
      <c r="Q15">
        <f t="shared" si="4"/>
        <v>1.6807641574195478</v>
      </c>
      <c r="R15">
        <f t="shared" si="5"/>
        <v>4.2691409598456511</v>
      </c>
      <c r="S15">
        <f t="shared" si="6"/>
        <v>1.4307082005592768</v>
      </c>
    </row>
    <row r="16" spans="2:19" x14ac:dyDescent="0.25">
      <c r="B16" s="71" t="s">
        <v>65</v>
      </c>
      <c r="C16" s="79">
        <f t="shared" si="1"/>
        <v>5.1831414717257696</v>
      </c>
      <c r="D16" s="43">
        <f t="shared" si="1"/>
        <v>2.1089010488763367</v>
      </c>
      <c r="E16" s="91">
        <f t="shared" si="2"/>
        <v>945</v>
      </c>
      <c r="F16" s="91">
        <f t="shared" si="2"/>
        <v>2586</v>
      </c>
      <c r="G16" s="91">
        <f t="shared" si="2"/>
        <v>7047</v>
      </c>
      <c r="H16" s="91">
        <f t="shared" si="2"/>
        <v>19733</v>
      </c>
      <c r="I16" s="113">
        <f t="shared" si="2"/>
        <v>39466</v>
      </c>
      <c r="K16" s="35"/>
      <c r="L16" s="36"/>
      <c r="M16" s="37"/>
      <c r="N16" s="70"/>
      <c r="O16" s="68">
        <f t="shared" si="3"/>
        <v>0</v>
      </c>
      <c r="P16">
        <v>2.2700000000000001E-2</v>
      </c>
      <c r="Q16">
        <f t="shared" si="4"/>
        <v>2.0406068786321927</v>
      </c>
      <c r="R16">
        <f t="shared" si="5"/>
        <v>5.1831414717257696</v>
      </c>
      <c r="S16">
        <f t="shared" si="6"/>
        <v>2.1089010488763367</v>
      </c>
    </row>
    <row r="17" spans="2:19" x14ac:dyDescent="0.25">
      <c r="B17" s="72" t="s">
        <v>66</v>
      </c>
      <c r="C17" s="80">
        <f t="shared" si="1"/>
        <v>6.6262388905317104</v>
      </c>
      <c r="D17" s="86">
        <f t="shared" si="1"/>
        <v>3.4467061195291673</v>
      </c>
      <c r="E17" s="92">
        <f t="shared" si="2"/>
        <v>578</v>
      </c>
      <c r="F17" s="92">
        <f t="shared" si="2"/>
        <v>1582</v>
      </c>
      <c r="G17" s="92">
        <f t="shared" si="2"/>
        <v>4312</v>
      </c>
      <c r="H17" s="92">
        <f t="shared" si="2"/>
        <v>12073</v>
      </c>
      <c r="I17" s="112">
        <f t="shared" si="2"/>
        <v>24147</v>
      </c>
      <c r="K17" s="39"/>
      <c r="L17" s="40"/>
      <c r="M17" s="41"/>
      <c r="N17" s="69"/>
      <c r="O17" s="68">
        <f t="shared" si="3"/>
        <v>0</v>
      </c>
      <c r="P17">
        <v>3.7100000000000001E-2</v>
      </c>
      <c r="Q17">
        <f t="shared" si="4"/>
        <v>2.6087554687132717</v>
      </c>
      <c r="R17">
        <f t="shared" si="5"/>
        <v>6.6262388905317104</v>
      </c>
      <c r="S17">
        <f t="shared" si="6"/>
        <v>3.4467061195291673</v>
      </c>
    </row>
    <row r="18" spans="2:19" x14ac:dyDescent="0.25">
      <c r="B18" s="71" t="s">
        <v>67</v>
      </c>
      <c r="C18" s="79">
        <f t="shared" si="1"/>
        <v>7.8145681886155609</v>
      </c>
      <c r="D18" s="43">
        <f t="shared" si="1"/>
        <v>4.7938015031726415</v>
      </c>
      <c r="E18" s="91">
        <f t="shared" si="2"/>
        <v>415</v>
      </c>
      <c r="F18" s="91">
        <f t="shared" si="2"/>
        <v>1138</v>
      </c>
      <c r="G18" s="91">
        <f t="shared" si="2"/>
        <v>3100</v>
      </c>
      <c r="H18" s="91">
        <f t="shared" si="2"/>
        <v>8681</v>
      </c>
      <c r="I18" s="113">
        <f t="shared" si="2"/>
        <v>17362</v>
      </c>
      <c r="K18" s="35"/>
      <c r="L18" s="36"/>
      <c r="M18" s="37"/>
      <c r="N18" s="70"/>
      <c r="O18" s="68">
        <f t="shared" si="3"/>
        <v>0</v>
      </c>
      <c r="P18">
        <v>5.16E-2</v>
      </c>
      <c r="Q18">
        <f t="shared" si="4"/>
        <v>3.0766016490612444</v>
      </c>
      <c r="R18">
        <f t="shared" si="5"/>
        <v>7.8145681886155609</v>
      </c>
      <c r="S18">
        <f t="shared" si="6"/>
        <v>4.7938015031726415</v>
      </c>
    </row>
    <row r="19" spans="2:19" x14ac:dyDescent="0.25">
      <c r="B19" s="72" t="s">
        <v>68</v>
      </c>
      <c r="C19" s="80">
        <f t="shared" si="1"/>
        <v>9.9646285615383956</v>
      </c>
      <c r="D19" s="86">
        <f t="shared" si="1"/>
        <v>7.7945725991508654</v>
      </c>
      <c r="E19" s="92">
        <f t="shared" si="2"/>
        <v>255</v>
      </c>
      <c r="F19" s="92">
        <f t="shared" si="2"/>
        <v>699</v>
      </c>
      <c r="G19" s="92">
        <f t="shared" si="2"/>
        <v>1906</v>
      </c>
      <c r="H19" s="92">
        <f t="shared" si="2"/>
        <v>5339</v>
      </c>
      <c r="I19" s="112">
        <f t="shared" si="2"/>
        <v>10678</v>
      </c>
      <c r="K19" s="39"/>
      <c r="L19" s="40"/>
      <c r="M19" s="41"/>
      <c r="N19" s="69"/>
      <c r="O19" s="68">
        <f t="shared" si="3"/>
        <v>0</v>
      </c>
      <c r="P19">
        <v>8.3900000000000002E-2</v>
      </c>
      <c r="Q19">
        <f t="shared" si="4"/>
        <v>3.9230821108418881</v>
      </c>
      <c r="R19">
        <f t="shared" si="5"/>
        <v>9.9646285615383956</v>
      </c>
      <c r="S19">
        <f t="shared" si="6"/>
        <v>7.7945725991508654</v>
      </c>
    </row>
    <row r="20" spans="2:19" x14ac:dyDescent="0.25">
      <c r="B20" s="71" t="s">
        <v>69</v>
      </c>
      <c r="C20" s="79">
        <f t="shared" si="1"/>
        <v>12.779671118043309</v>
      </c>
      <c r="D20" s="43">
        <f t="shared" si="1"/>
        <v>12.820631927089625</v>
      </c>
      <c r="E20" s="91">
        <f t="shared" si="2"/>
        <v>155</v>
      </c>
      <c r="F20" s="91">
        <f t="shared" si="2"/>
        <v>425</v>
      </c>
      <c r="G20" s="91">
        <f t="shared" si="2"/>
        <v>1159</v>
      </c>
      <c r="H20" s="91">
        <f t="shared" si="2"/>
        <v>3245</v>
      </c>
      <c r="I20" s="113">
        <f t="shared" si="2"/>
        <v>6491</v>
      </c>
      <c r="K20" s="35"/>
      <c r="L20" s="36"/>
      <c r="M20" s="37"/>
      <c r="N20" s="70"/>
      <c r="O20" s="68">
        <f t="shared" si="3"/>
        <v>0</v>
      </c>
      <c r="P20">
        <v>0.13800000000000001</v>
      </c>
      <c r="Q20">
        <f t="shared" si="4"/>
        <v>5.0313665819068145</v>
      </c>
      <c r="R20">
        <f t="shared" si="5"/>
        <v>12.779671118043309</v>
      </c>
      <c r="S20">
        <f t="shared" si="6"/>
        <v>12.820631927089625</v>
      </c>
    </row>
    <row r="21" spans="2:19" x14ac:dyDescent="0.25">
      <c r="B21" s="72" t="s">
        <v>70</v>
      </c>
      <c r="C21" s="80">
        <f t="shared" si="1"/>
        <v>14.756693120314381</v>
      </c>
      <c r="D21" s="86">
        <f t="shared" si="1"/>
        <v>17.094175902786166</v>
      </c>
      <c r="E21" s="92">
        <f t="shared" si="2"/>
        <v>116</v>
      </c>
      <c r="F21" s="92">
        <f t="shared" si="2"/>
        <v>319</v>
      </c>
      <c r="G21" s="92">
        <f t="shared" si="2"/>
        <v>869</v>
      </c>
      <c r="H21" s="92">
        <f t="shared" si="2"/>
        <v>2434</v>
      </c>
      <c r="I21" s="112">
        <f t="shared" si="2"/>
        <v>4868</v>
      </c>
      <c r="K21" s="39"/>
      <c r="L21" s="40"/>
      <c r="M21" s="41"/>
      <c r="N21" s="69"/>
      <c r="O21" s="68">
        <f t="shared" si="3"/>
        <v>0</v>
      </c>
      <c r="P21">
        <v>0.184</v>
      </c>
      <c r="Q21">
        <f t="shared" si="4"/>
        <v>5.8097217009111732</v>
      </c>
      <c r="R21">
        <f t="shared" si="5"/>
        <v>14.756693120314381</v>
      </c>
      <c r="S21">
        <f t="shared" si="6"/>
        <v>17.094175902786166</v>
      </c>
    </row>
    <row r="22" spans="2:19" x14ac:dyDescent="0.25">
      <c r="B22" s="71" t="s">
        <v>71</v>
      </c>
      <c r="C22" s="79">
        <f t="shared" si="1"/>
        <v>19.611996848413106</v>
      </c>
      <c r="D22" s="43">
        <f t="shared" si="1"/>
        <v>30.19351721959513</v>
      </c>
      <c r="E22" s="91">
        <f t="shared" si="2"/>
        <v>66</v>
      </c>
      <c r="F22" s="91">
        <f t="shared" si="2"/>
        <v>180</v>
      </c>
      <c r="G22" s="91">
        <f t="shared" si="2"/>
        <v>492</v>
      </c>
      <c r="H22" s="91">
        <f t="shared" si="2"/>
        <v>1378</v>
      </c>
      <c r="I22" s="113">
        <f t="shared" si="2"/>
        <v>2756</v>
      </c>
      <c r="K22" s="35"/>
      <c r="L22" s="36"/>
      <c r="M22" s="37"/>
      <c r="N22" s="70"/>
      <c r="O22" s="68">
        <f t="shared" si="3"/>
        <v>0</v>
      </c>
      <c r="P22">
        <v>0.32500000000000001</v>
      </c>
      <c r="Q22">
        <f t="shared" si="4"/>
        <v>7.7212586017374436</v>
      </c>
      <c r="R22">
        <f t="shared" si="5"/>
        <v>19.611996848413106</v>
      </c>
      <c r="S22">
        <f t="shared" si="6"/>
        <v>30.19351721959513</v>
      </c>
    </row>
    <row r="23" spans="2:19" ht="15.75" thickBot="1" x14ac:dyDescent="0.3">
      <c r="B23" s="72" t="s">
        <v>72</v>
      </c>
      <c r="C23" s="80">
        <f t="shared" si="1"/>
        <v>22.611116503926564</v>
      </c>
      <c r="D23" s="86">
        <f t="shared" si="1"/>
        <v>40.134152119584911</v>
      </c>
      <c r="E23" s="92">
        <f t="shared" si="2"/>
        <v>49</v>
      </c>
      <c r="F23" s="92">
        <f t="shared" si="2"/>
        <v>135</v>
      </c>
      <c r="G23" s="92">
        <f t="shared" si="2"/>
        <v>370</v>
      </c>
      <c r="H23" s="92">
        <f t="shared" si="2"/>
        <v>1036</v>
      </c>
      <c r="I23" s="112">
        <f t="shared" si="2"/>
        <v>2073</v>
      </c>
      <c r="K23" s="165"/>
      <c r="L23" s="166"/>
      <c r="M23" s="167"/>
      <c r="N23" s="168"/>
      <c r="O23" s="162">
        <f t="shared" si="3"/>
        <v>0</v>
      </c>
      <c r="P23">
        <v>0.432</v>
      </c>
      <c r="Q23">
        <f t="shared" si="4"/>
        <v>8.9020143716246309</v>
      </c>
      <c r="R23">
        <f t="shared" si="5"/>
        <v>22.611116503926564</v>
      </c>
      <c r="S23">
        <f t="shared" si="6"/>
        <v>40.134152119584911</v>
      </c>
    </row>
    <row r="24" spans="2:19" x14ac:dyDescent="0.25">
      <c r="B24" s="137" t="s">
        <v>58</v>
      </c>
      <c r="C24" s="169">
        <f t="shared" si="1"/>
        <v>3.4913930787829157</v>
      </c>
      <c r="D24" s="138">
        <f t="shared" si="1"/>
        <v>0.95690223803639951</v>
      </c>
      <c r="E24" s="170">
        <f t="shared" si="2"/>
        <v>2083</v>
      </c>
      <c r="F24" s="170">
        <f t="shared" si="2"/>
        <v>5701</v>
      </c>
      <c r="G24" s="170">
        <f t="shared" si="2"/>
        <v>15531</v>
      </c>
      <c r="H24" s="170">
        <f t="shared" si="2"/>
        <v>43489</v>
      </c>
      <c r="I24" s="111">
        <f t="shared" si="2"/>
        <v>86979</v>
      </c>
      <c r="K24" s="172"/>
      <c r="L24" s="173"/>
      <c r="M24" s="174"/>
      <c r="N24" s="175"/>
      <c r="O24" s="163">
        <f t="shared" si="3"/>
        <v>0</v>
      </c>
      <c r="P24">
        <v>1.03E-2</v>
      </c>
      <c r="Q24">
        <f>SQRT(P24*4/3.14)*12</f>
        <v>1.3745642042452424</v>
      </c>
      <c r="R24">
        <f t="shared" si="5"/>
        <v>3.4913930787829157</v>
      </c>
      <c r="S24">
        <f t="shared" si="6"/>
        <v>0.95690223803639951</v>
      </c>
    </row>
    <row r="25" spans="2:19" x14ac:dyDescent="0.25">
      <c r="B25" s="73" t="s">
        <v>8</v>
      </c>
      <c r="C25" s="81">
        <f t="shared" si="1"/>
        <v>6.9232122436554446</v>
      </c>
      <c r="D25" s="87">
        <f t="shared" si="1"/>
        <v>3.7625767612110854</v>
      </c>
      <c r="E25" s="93">
        <f t="shared" si="2"/>
        <v>529</v>
      </c>
      <c r="F25" s="93">
        <f t="shared" si="2"/>
        <v>1449</v>
      </c>
      <c r="G25" s="93">
        <f t="shared" si="2"/>
        <v>3950</v>
      </c>
      <c r="H25" s="93">
        <f t="shared" si="2"/>
        <v>11060</v>
      </c>
      <c r="I25" s="114">
        <f t="shared" si="2"/>
        <v>22120</v>
      </c>
      <c r="K25" s="39"/>
      <c r="L25" s="40"/>
      <c r="M25" s="41"/>
      <c r="N25" s="69"/>
      <c r="O25" s="68">
        <f t="shared" si="3"/>
        <v>0</v>
      </c>
      <c r="P25">
        <v>4.0500000000000001E-2</v>
      </c>
      <c r="Q25">
        <f>SQRT(P25*4/3.14)*12</f>
        <v>2.7256741116753718</v>
      </c>
      <c r="R25">
        <f t="shared" si="5"/>
        <v>6.9232122436554446</v>
      </c>
      <c r="S25">
        <f t="shared" si="6"/>
        <v>3.7625767612110854</v>
      </c>
    </row>
    <row r="26" spans="2:19" x14ac:dyDescent="0.25">
      <c r="B26" s="71" t="s">
        <v>6</v>
      </c>
      <c r="C26" s="79">
        <f t="shared" si="1"/>
        <v>9.0037913033563211</v>
      </c>
      <c r="D26" s="43">
        <f t="shared" si="1"/>
        <v>6.3638643985915895</v>
      </c>
      <c r="E26" s="91">
        <f t="shared" si="2"/>
        <v>313</v>
      </c>
      <c r="F26" s="91">
        <f t="shared" si="2"/>
        <v>857</v>
      </c>
      <c r="G26" s="91">
        <f t="shared" si="2"/>
        <v>2335</v>
      </c>
      <c r="H26" s="91">
        <f t="shared" si="2"/>
        <v>6539</v>
      </c>
      <c r="I26" s="113">
        <f t="shared" si="2"/>
        <v>13078</v>
      </c>
      <c r="K26" s="35"/>
      <c r="L26" s="36"/>
      <c r="M26" s="37"/>
      <c r="N26" s="70"/>
      <c r="O26" s="68">
        <f t="shared" si="3"/>
        <v>0</v>
      </c>
      <c r="P26">
        <v>6.8500000000000005E-2</v>
      </c>
      <c r="Q26">
        <f t="shared" ref="Q26:Q29" si="7">SQRT(P26*4/3.14)*12</f>
        <v>3.5447997257308352</v>
      </c>
      <c r="R26">
        <f t="shared" si="5"/>
        <v>9.0037913033563211</v>
      </c>
      <c r="S26">
        <f t="shared" si="6"/>
        <v>6.3638643985915895</v>
      </c>
    </row>
    <row r="27" spans="2:19" x14ac:dyDescent="0.25">
      <c r="B27" s="73" t="s">
        <v>0</v>
      </c>
      <c r="C27" s="81">
        <f t="shared" si="1"/>
        <v>13.674412536433167</v>
      </c>
      <c r="D27" s="87">
        <f t="shared" si="1"/>
        <v>14.678694525218555</v>
      </c>
      <c r="E27" s="93">
        <f t="shared" si="2"/>
        <v>135</v>
      </c>
      <c r="F27" s="93">
        <f t="shared" si="2"/>
        <v>371</v>
      </c>
      <c r="G27" s="93">
        <f t="shared" si="2"/>
        <v>1012</v>
      </c>
      <c r="H27" s="93">
        <f t="shared" si="2"/>
        <v>2835</v>
      </c>
      <c r="I27" s="114">
        <f t="shared" si="2"/>
        <v>5670</v>
      </c>
      <c r="K27" s="39"/>
      <c r="L27" s="40"/>
      <c r="M27" s="41"/>
      <c r="N27" s="69"/>
      <c r="O27" s="68">
        <f t="shared" si="3"/>
        <v>0</v>
      </c>
      <c r="P27">
        <v>0.158</v>
      </c>
      <c r="Q27">
        <f t="shared" si="7"/>
        <v>5.3836269828477032</v>
      </c>
      <c r="R27">
        <f t="shared" si="5"/>
        <v>13.674412536433167</v>
      </c>
      <c r="S27">
        <f t="shared" si="6"/>
        <v>14.678694525218555</v>
      </c>
    </row>
    <row r="28" spans="2:19" x14ac:dyDescent="0.25">
      <c r="B28" s="71" t="s">
        <v>5</v>
      </c>
      <c r="C28" s="79">
        <f t="shared" si="1"/>
        <v>17.027981767001183</v>
      </c>
      <c r="D28" s="43">
        <f t="shared" si="1"/>
        <v>22.761266827079403</v>
      </c>
      <c r="E28" s="91">
        <f t="shared" si="2"/>
        <v>87</v>
      </c>
      <c r="F28" s="91">
        <f t="shared" si="2"/>
        <v>239</v>
      </c>
      <c r="G28" s="91">
        <f t="shared" si="2"/>
        <v>652</v>
      </c>
      <c r="H28" s="91">
        <f t="shared" si="2"/>
        <v>1828</v>
      </c>
      <c r="I28" s="113">
        <f t="shared" si="2"/>
        <v>3656</v>
      </c>
      <c r="K28" s="35"/>
      <c r="L28" s="36"/>
      <c r="M28" s="37"/>
      <c r="N28" s="70"/>
      <c r="O28" s="68">
        <f t="shared" si="3"/>
        <v>0</v>
      </c>
      <c r="P28">
        <v>0.245</v>
      </c>
      <c r="Q28">
        <f t="shared" si="7"/>
        <v>6.7039298295280254</v>
      </c>
      <c r="R28">
        <f t="shared" si="5"/>
        <v>17.027981767001183</v>
      </c>
      <c r="S28">
        <f t="shared" si="6"/>
        <v>22.761266827079403</v>
      </c>
    </row>
    <row r="29" spans="2:19" x14ac:dyDescent="0.25">
      <c r="B29" s="73" t="s">
        <v>1</v>
      </c>
      <c r="C29" s="81">
        <f t="shared" si="1"/>
        <v>19.460550590858499</v>
      </c>
      <c r="D29" s="87">
        <f t="shared" si="1"/>
        <v>29.729001570062895</v>
      </c>
      <c r="E29" s="93">
        <f t="shared" si="2"/>
        <v>67</v>
      </c>
      <c r="F29" s="93">
        <f t="shared" si="2"/>
        <v>183</v>
      </c>
      <c r="G29" s="93">
        <f t="shared" si="2"/>
        <v>499</v>
      </c>
      <c r="H29" s="93">
        <f t="shared" si="2"/>
        <v>1399</v>
      </c>
      <c r="I29" s="114">
        <f t="shared" si="2"/>
        <v>2799</v>
      </c>
      <c r="K29" s="39"/>
      <c r="L29" s="40"/>
      <c r="M29" s="41"/>
      <c r="N29" s="69"/>
      <c r="O29" s="68">
        <f t="shared" si="3"/>
        <v>0</v>
      </c>
      <c r="P29">
        <v>0.32</v>
      </c>
      <c r="Q29">
        <f t="shared" si="7"/>
        <v>7.6616340908891729</v>
      </c>
      <c r="R29">
        <f t="shared" si="5"/>
        <v>19.460550590858499</v>
      </c>
      <c r="S29">
        <f t="shared" si="6"/>
        <v>29.729001570062895</v>
      </c>
    </row>
    <row r="30" spans="2:19" ht="15.75" thickBot="1" x14ac:dyDescent="0.3">
      <c r="B30" s="140" t="s">
        <v>73</v>
      </c>
      <c r="C30" s="171">
        <f>R30</f>
        <v>20.583614880012263</v>
      </c>
      <c r="D30" s="141">
        <f>S30</f>
        <v>33.259320506507862</v>
      </c>
      <c r="E30" s="91">
        <f t="shared" ref="E30:I31" si="8">INT(E$7/$D30)</f>
        <v>59</v>
      </c>
      <c r="F30" s="91">
        <f t="shared" si="8"/>
        <v>164</v>
      </c>
      <c r="G30" s="91">
        <f t="shared" si="8"/>
        <v>446</v>
      </c>
      <c r="H30" s="91">
        <f t="shared" si="8"/>
        <v>1251</v>
      </c>
      <c r="I30" s="113">
        <f t="shared" si="8"/>
        <v>2502</v>
      </c>
      <c r="K30" s="176"/>
      <c r="L30" s="177"/>
      <c r="M30" s="178"/>
      <c r="N30" s="179"/>
      <c r="O30" s="164">
        <f>(SUM(K30:N30))*D30</f>
        <v>0</v>
      </c>
      <c r="P30">
        <v>0.35799999999999998</v>
      </c>
      <c r="Q30">
        <f>SQRT(P30*4/3.14)*12</f>
        <v>8.1037853858315998</v>
      </c>
      <c r="R30">
        <f>Q30*2.54</f>
        <v>20.583614880012263</v>
      </c>
      <c r="S30">
        <f>P30/0.0107639</f>
        <v>33.259320506507862</v>
      </c>
    </row>
    <row r="31" spans="2:19" x14ac:dyDescent="0.25">
      <c r="B31" s="148" t="s">
        <v>143</v>
      </c>
      <c r="C31" s="144"/>
      <c r="D31" s="197">
        <f>S31</f>
        <v>4.25</v>
      </c>
      <c r="E31" s="183">
        <f t="shared" si="8"/>
        <v>469</v>
      </c>
      <c r="F31" s="186">
        <f t="shared" si="8"/>
        <v>1283</v>
      </c>
      <c r="G31" s="183">
        <f t="shared" si="8"/>
        <v>3497</v>
      </c>
      <c r="H31" s="186">
        <f t="shared" si="8"/>
        <v>9791</v>
      </c>
      <c r="I31" s="186">
        <f t="shared" si="8"/>
        <v>19583</v>
      </c>
      <c r="K31" s="152"/>
      <c r="L31" s="153"/>
      <c r="M31" s="154"/>
      <c r="N31" s="155"/>
      <c r="O31" s="163">
        <f t="shared" ref="O31:O47" si="9">(SUM(K31:N31))*$D31</f>
        <v>0</v>
      </c>
      <c r="P31">
        <f>S31*0.0107639</f>
        <v>4.5746574999999998E-2</v>
      </c>
      <c r="S31">
        <v>4.25</v>
      </c>
    </row>
    <row r="32" spans="2:19" x14ac:dyDescent="0.25">
      <c r="B32" s="149" t="s">
        <v>144</v>
      </c>
      <c r="C32" s="136"/>
      <c r="D32" s="198">
        <f>S32</f>
        <v>2.34</v>
      </c>
      <c r="E32" s="160">
        <f t="shared" ref="E32:I47" si="10">INT(E$7/$D32)</f>
        <v>851</v>
      </c>
      <c r="F32" s="113">
        <f t="shared" si="10"/>
        <v>2331</v>
      </c>
      <c r="G32" s="160">
        <f t="shared" si="10"/>
        <v>6351</v>
      </c>
      <c r="H32" s="113">
        <f t="shared" si="10"/>
        <v>17784</v>
      </c>
      <c r="I32" s="113">
        <f t="shared" si="10"/>
        <v>35568</v>
      </c>
      <c r="K32" s="35"/>
      <c r="L32" s="36"/>
      <c r="M32" s="37"/>
      <c r="N32" s="70"/>
      <c r="O32" s="68">
        <f t="shared" si="9"/>
        <v>0</v>
      </c>
      <c r="P32">
        <f t="shared" ref="P32:P47" si="11">S32*0.0107639</f>
        <v>2.5187525999999998E-2</v>
      </c>
      <c r="S32">
        <v>2.34</v>
      </c>
    </row>
    <row r="33" spans="2:19" x14ac:dyDescent="0.25">
      <c r="B33" s="150" t="s">
        <v>145</v>
      </c>
      <c r="C33" s="147"/>
      <c r="D33" s="199">
        <f t="shared" ref="D33:D47" si="12">S33</f>
        <v>1.58</v>
      </c>
      <c r="E33" s="184">
        <f t="shared" si="10"/>
        <v>1261</v>
      </c>
      <c r="F33" s="187">
        <f t="shared" si="10"/>
        <v>3452</v>
      </c>
      <c r="G33" s="184">
        <f t="shared" si="10"/>
        <v>9406</v>
      </c>
      <c r="H33" s="187">
        <f t="shared" si="10"/>
        <v>26338</v>
      </c>
      <c r="I33" s="187">
        <f t="shared" si="10"/>
        <v>52677</v>
      </c>
      <c r="K33" s="39"/>
      <c r="L33" s="40"/>
      <c r="M33" s="41"/>
      <c r="N33" s="69"/>
      <c r="O33" s="68">
        <f t="shared" si="9"/>
        <v>0</v>
      </c>
      <c r="P33">
        <f t="shared" si="11"/>
        <v>1.7006962E-2</v>
      </c>
      <c r="S33">
        <v>1.58</v>
      </c>
    </row>
    <row r="34" spans="2:19" x14ac:dyDescent="0.25">
      <c r="B34" s="149" t="s">
        <v>146</v>
      </c>
      <c r="C34" s="136"/>
      <c r="D34" s="200">
        <f t="shared" si="12"/>
        <v>1.68</v>
      </c>
      <c r="E34" s="160">
        <f t="shared" si="10"/>
        <v>1186</v>
      </c>
      <c r="F34" s="113">
        <f t="shared" si="10"/>
        <v>3247</v>
      </c>
      <c r="G34" s="160">
        <f t="shared" si="10"/>
        <v>8846</v>
      </c>
      <c r="H34" s="113">
        <f t="shared" si="10"/>
        <v>24770</v>
      </c>
      <c r="I34" s="113">
        <f t="shared" si="10"/>
        <v>49541</v>
      </c>
      <c r="K34" s="35"/>
      <c r="L34" s="36"/>
      <c r="M34" s="37"/>
      <c r="N34" s="70"/>
      <c r="O34" s="68">
        <f t="shared" si="9"/>
        <v>0</v>
      </c>
      <c r="P34">
        <f t="shared" si="11"/>
        <v>1.8083352E-2</v>
      </c>
      <c r="S34">
        <v>1.68</v>
      </c>
    </row>
    <row r="35" spans="2:19" x14ac:dyDescent="0.25">
      <c r="B35" s="150" t="s">
        <v>147</v>
      </c>
      <c r="C35" s="147"/>
      <c r="D35" s="199">
        <f t="shared" si="12"/>
        <v>1.08</v>
      </c>
      <c r="E35" s="184">
        <f t="shared" si="10"/>
        <v>1845</v>
      </c>
      <c r="F35" s="187">
        <f t="shared" si="10"/>
        <v>5051</v>
      </c>
      <c r="G35" s="184">
        <f t="shared" si="10"/>
        <v>13761</v>
      </c>
      <c r="H35" s="187">
        <f t="shared" si="10"/>
        <v>38532</v>
      </c>
      <c r="I35" s="187">
        <f t="shared" si="10"/>
        <v>77065</v>
      </c>
      <c r="K35" s="39"/>
      <c r="L35" s="40"/>
      <c r="M35" s="41"/>
      <c r="N35" s="69"/>
      <c r="O35" s="68">
        <f t="shared" si="9"/>
        <v>0</v>
      </c>
      <c r="P35">
        <f t="shared" si="11"/>
        <v>1.1625012000000001E-2</v>
      </c>
      <c r="S35">
        <v>1.08</v>
      </c>
    </row>
    <row r="36" spans="2:19" x14ac:dyDescent="0.25">
      <c r="B36" s="149" t="s">
        <v>148</v>
      </c>
      <c r="C36" s="136"/>
      <c r="D36" s="200">
        <f t="shared" si="12"/>
        <v>1.02</v>
      </c>
      <c r="E36" s="160">
        <f t="shared" si="10"/>
        <v>1954</v>
      </c>
      <c r="F36" s="113">
        <f t="shared" si="10"/>
        <v>5348</v>
      </c>
      <c r="G36" s="160">
        <f t="shared" si="10"/>
        <v>14571</v>
      </c>
      <c r="H36" s="113">
        <f t="shared" si="10"/>
        <v>40799</v>
      </c>
      <c r="I36" s="113">
        <f t="shared" si="10"/>
        <v>81598</v>
      </c>
      <c r="K36" s="35"/>
      <c r="L36" s="36"/>
      <c r="M36" s="37"/>
      <c r="N36" s="70"/>
      <c r="O36" s="68">
        <f t="shared" si="9"/>
        <v>0</v>
      </c>
      <c r="P36">
        <f t="shared" si="11"/>
        <v>1.0979178000000001E-2</v>
      </c>
      <c r="S36">
        <v>1.02</v>
      </c>
    </row>
    <row r="37" spans="2:19" x14ac:dyDescent="0.25">
      <c r="B37" s="150" t="s">
        <v>149</v>
      </c>
      <c r="C37" s="147"/>
      <c r="D37" s="199">
        <f t="shared" si="12"/>
        <v>0.83</v>
      </c>
      <c r="E37" s="184">
        <f t="shared" si="10"/>
        <v>2401</v>
      </c>
      <c r="F37" s="187">
        <f t="shared" si="10"/>
        <v>6572</v>
      </c>
      <c r="G37" s="184">
        <f t="shared" si="10"/>
        <v>17906</v>
      </c>
      <c r="H37" s="187">
        <f t="shared" si="10"/>
        <v>50138</v>
      </c>
      <c r="I37" s="187">
        <f t="shared" si="10"/>
        <v>100277</v>
      </c>
      <c r="K37" s="39"/>
      <c r="L37" s="40"/>
      <c r="M37" s="41"/>
      <c r="N37" s="69"/>
      <c r="O37" s="68">
        <f t="shared" si="9"/>
        <v>0</v>
      </c>
      <c r="P37">
        <f t="shared" si="11"/>
        <v>8.9340369999999988E-3</v>
      </c>
      <c r="S37">
        <v>0.83</v>
      </c>
    </row>
    <row r="38" spans="2:19" x14ac:dyDescent="0.25">
      <c r="B38" s="149" t="s">
        <v>150</v>
      </c>
      <c r="C38" s="136"/>
      <c r="D38" s="200">
        <f t="shared" si="12"/>
        <v>0.72</v>
      </c>
      <c r="E38" s="160">
        <f t="shared" si="10"/>
        <v>2768</v>
      </c>
      <c r="F38" s="113">
        <f t="shared" si="10"/>
        <v>7577</v>
      </c>
      <c r="G38" s="160">
        <f t="shared" si="10"/>
        <v>20642</v>
      </c>
      <c r="H38" s="113">
        <f t="shared" si="10"/>
        <v>57798</v>
      </c>
      <c r="I38" s="113">
        <f t="shared" si="10"/>
        <v>115597</v>
      </c>
      <c r="K38" s="35"/>
      <c r="L38" s="36"/>
      <c r="M38" s="37"/>
      <c r="N38" s="70"/>
      <c r="O38" s="68">
        <f t="shared" si="9"/>
        <v>0</v>
      </c>
      <c r="P38">
        <f t="shared" si="11"/>
        <v>7.7500079999999992E-3</v>
      </c>
      <c r="S38">
        <v>0.72</v>
      </c>
    </row>
    <row r="39" spans="2:19" x14ac:dyDescent="0.25">
      <c r="B39" s="150" t="s">
        <v>151</v>
      </c>
      <c r="C39" s="147"/>
      <c r="D39" s="199">
        <f t="shared" si="12"/>
        <v>0.6</v>
      </c>
      <c r="E39" s="184">
        <f t="shared" si="10"/>
        <v>3322</v>
      </c>
      <c r="F39" s="187">
        <f t="shared" si="10"/>
        <v>9092</v>
      </c>
      <c r="G39" s="184">
        <f t="shared" si="10"/>
        <v>24770</v>
      </c>
      <c r="H39" s="187">
        <f t="shared" si="10"/>
        <v>69358</v>
      </c>
      <c r="I39" s="187">
        <f t="shared" si="10"/>
        <v>138717</v>
      </c>
      <c r="K39" s="39"/>
      <c r="L39" s="40"/>
      <c r="M39" s="41"/>
      <c r="N39" s="69"/>
      <c r="O39" s="68">
        <f t="shared" si="9"/>
        <v>0</v>
      </c>
      <c r="P39">
        <f t="shared" si="11"/>
        <v>6.4583399999999999E-3</v>
      </c>
      <c r="S39">
        <v>0.6</v>
      </c>
    </row>
    <row r="40" spans="2:19" x14ac:dyDescent="0.25">
      <c r="B40" s="149" t="s">
        <v>152</v>
      </c>
      <c r="C40" s="136"/>
      <c r="D40" s="200">
        <f t="shared" si="12"/>
        <v>0.38</v>
      </c>
      <c r="E40" s="160">
        <f t="shared" si="10"/>
        <v>5245</v>
      </c>
      <c r="F40" s="113">
        <f t="shared" si="10"/>
        <v>14356</v>
      </c>
      <c r="G40" s="160">
        <f t="shared" si="10"/>
        <v>39112</v>
      </c>
      <c r="H40" s="113">
        <f t="shared" si="10"/>
        <v>109513</v>
      </c>
      <c r="I40" s="113">
        <f t="shared" si="10"/>
        <v>219027</v>
      </c>
      <c r="K40" s="35"/>
      <c r="L40" s="36"/>
      <c r="M40" s="37"/>
      <c r="N40" s="70"/>
      <c r="O40" s="68">
        <f t="shared" si="9"/>
        <v>0</v>
      </c>
      <c r="P40">
        <f t="shared" si="11"/>
        <v>4.0902819999999998E-3</v>
      </c>
      <c r="S40">
        <v>0.38</v>
      </c>
    </row>
    <row r="41" spans="2:19" x14ac:dyDescent="0.25">
      <c r="B41" s="150" t="s">
        <v>153</v>
      </c>
      <c r="C41" s="147"/>
      <c r="D41" s="199">
        <f t="shared" si="12"/>
        <v>0.31</v>
      </c>
      <c r="E41" s="184">
        <f t="shared" si="10"/>
        <v>6430</v>
      </c>
      <c r="F41" s="187">
        <f t="shared" si="10"/>
        <v>17598</v>
      </c>
      <c r="G41" s="184">
        <f t="shared" si="10"/>
        <v>47943</v>
      </c>
      <c r="H41" s="187">
        <f t="shared" si="10"/>
        <v>134242</v>
      </c>
      <c r="I41" s="187">
        <f t="shared" si="10"/>
        <v>268485</v>
      </c>
      <c r="K41" s="39"/>
      <c r="L41" s="40"/>
      <c r="M41" s="41"/>
      <c r="N41" s="69"/>
      <c r="O41" s="68">
        <f t="shared" si="9"/>
        <v>0</v>
      </c>
      <c r="P41">
        <f t="shared" si="11"/>
        <v>3.336809E-3</v>
      </c>
      <c r="S41">
        <v>0.31</v>
      </c>
    </row>
    <row r="42" spans="2:19" x14ac:dyDescent="0.25">
      <c r="B42" s="149" t="s">
        <v>154</v>
      </c>
      <c r="C42" s="136"/>
      <c r="D42" s="200">
        <f t="shared" si="12"/>
        <v>0.24</v>
      </c>
      <c r="E42" s="160">
        <f t="shared" si="10"/>
        <v>8305</v>
      </c>
      <c r="F42" s="113">
        <f t="shared" si="10"/>
        <v>22731</v>
      </c>
      <c r="G42" s="160">
        <f t="shared" si="10"/>
        <v>61927</v>
      </c>
      <c r="H42" s="113">
        <f t="shared" si="10"/>
        <v>173396</v>
      </c>
      <c r="I42" s="113">
        <f t="shared" si="10"/>
        <v>346793</v>
      </c>
      <c r="K42" s="35"/>
      <c r="L42" s="36"/>
      <c r="M42" s="37"/>
      <c r="N42" s="70"/>
      <c r="O42" s="68">
        <f t="shared" si="9"/>
        <v>0</v>
      </c>
      <c r="P42">
        <f t="shared" si="11"/>
        <v>2.5833359999999999E-3</v>
      </c>
      <c r="S42">
        <v>0.24</v>
      </c>
    </row>
    <row r="43" spans="2:19" x14ac:dyDescent="0.25">
      <c r="B43" s="150" t="s">
        <v>155</v>
      </c>
      <c r="C43" s="147"/>
      <c r="D43" s="199">
        <f t="shared" si="12"/>
        <v>0.18</v>
      </c>
      <c r="E43" s="184">
        <f t="shared" si="10"/>
        <v>11074</v>
      </c>
      <c r="F43" s="187">
        <f t="shared" si="10"/>
        <v>30308</v>
      </c>
      <c r="G43" s="184">
        <f t="shared" si="10"/>
        <v>82569</v>
      </c>
      <c r="H43" s="187">
        <f t="shared" si="10"/>
        <v>231195</v>
      </c>
      <c r="I43" s="187">
        <f t="shared" si="10"/>
        <v>462391</v>
      </c>
      <c r="K43" s="39"/>
      <c r="L43" s="40"/>
      <c r="M43" s="41"/>
      <c r="N43" s="69"/>
      <c r="O43" s="68">
        <f t="shared" si="9"/>
        <v>0</v>
      </c>
      <c r="P43">
        <f t="shared" si="11"/>
        <v>1.9375019999999998E-3</v>
      </c>
      <c r="S43">
        <v>0.18</v>
      </c>
    </row>
    <row r="44" spans="2:19" x14ac:dyDescent="0.25">
      <c r="B44" s="149" t="s">
        <v>156</v>
      </c>
      <c r="C44" s="136"/>
      <c r="D44" s="200">
        <f t="shared" si="12"/>
        <v>0.11</v>
      </c>
      <c r="E44" s="160">
        <f t="shared" si="10"/>
        <v>18121</v>
      </c>
      <c r="F44" s="113">
        <f t="shared" si="10"/>
        <v>49594</v>
      </c>
      <c r="G44" s="160">
        <f t="shared" si="10"/>
        <v>135114</v>
      </c>
      <c r="H44" s="113">
        <f t="shared" si="10"/>
        <v>378320</v>
      </c>
      <c r="I44" s="113">
        <f t="shared" si="10"/>
        <v>756640</v>
      </c>
      <c r="K44" s="35"/>
      <c r="L44" s="36"/>
      <c r="M44" s="37"/>
      <c r="N44" s="70"/>
      <c r="O44" s="68">
        <f t="shared" si="9"/>
        <v>0</v>
      </c>
      <c r="P44">
        <f t="shared" si="11"/>
        <v>1.1840290000000001E-3</v>
      </c>
      <c r="S44">
        <v>0.11</v>
      </c>
    </row>
    <row r="45" spans="2:19" x14ac:dyDescent="0.25">
      <c r="B45" s="150" t="s">
        <v>157</v>
      </c>
      <c r="C45" s="147"/>
      <c r="D45" s="199">
        <f t="shared" si="12"/>
        <v>0.08</v>
      </c>
      <c r="E45" s="184">
        <f t="shared" si="10"/>
        <v>24916</v>
      </c>
      <c r="F45" s="187">
        <f t="shared" si="10"/>
        <v>68193</v>
      </c>
      <c r="G45" s="184">
        <f t="shared" si="10"/>
        <v>185782</v>
      </c>
      <c r="H45" s="187">
        <f t="shared" si="10"/>
        <v>520190</v>
      </c>
      <c r="I45" s="187">
        <f t="shared" si="10"/>
        <v>1040380</v>
      </c>
      <c r="K45" s="39"/>
      <c r="L45" s="40"/>
      <c r="M45" s="41"/>
      <c r="N45" s="69"/>
      <c r="O45" s="68">
        <f t="shared" si="9"/>
        <v>0</v>
      </c>
      <c r="P45">
        <f t="shared" si="11"/>
        <v>8.6111200000000003E-4</v>
      </c>
      <c r="S45">
        <v>0.08</v>
      </c>
    </row>
    <row r="46" spans="2:19" x14ac:dyDescent="0.25">
      <c r="B46" s="149" t="s">
        <v>158</v>
      </c>
      <c r="C46" s="136"/>
      <c r="D46" s="200">
        <f t="shared" si="12"/>
        <v>0.06</v>
      </c>
      <c r="E46" s="160">
        <f t="shared" si="10"/>
        <v>33222</v>
      </c>
      <c r="F46" s="113">
        <f t="shared" si="10"/>
        <v>90924</v>
      </c>
      <c r="G46" s="160">
        <f t="shared" si="10"/>
        <v>247709</v>
      </c>
      <c r="H46" s="113">
        <f t="shared" si="10"/>
        <v>693587</v>
      </c>
      <c r="I46" s="113">
        <f t="shared" si="10"/>
        <v>1387174</v>
      </c>
      <c r="K46" s="35"/>
      <c r="L46" s="36"/>
      <c r="M46" s="37"/>
      <c r="N46" s="70"/>
      <c r="O46" s="68">
        <f t="shared" si="9"/>
        <v>0</v>
      </c>
      <c r="P46">
        <f t="shared" si="11"/>
        <v>6.4583399999999997E-4</v>
      </c>
      <c r="S46">
        <v>0.06</v>
      </c>
    </row>
    <row r="47" spans="2:19" ht="15.75" thickBot="1" x14ac:dyDescent="0.3">
      <c r="B47" s="151" t="s">
        <v>159</v>
      </c>
      <c r="C47" s="161"/>
      <c r="D47" s="201">
        <f t="shared" si="12"/>
        <v>0.03</v>
      </c>
      <c r="E47" s="185">
        <f t="shared" si="10"/>
        <v>66444</v>
      </c>
      <c r="F47" s="188">
        <f t="shared" si="10"/>
        <v>181848</v>
      </c>
      <c r="G47" s="185">
        <f t="shared" si="10"/>
        <v>495419</v>
      </c>
      <c r="H47" s="188">
        <f t="shared" si="10"/>
        <v>1387174</v>
      </c>
      <c r="I47" s="188">
        <f t="shared" si="10"/>
        <v>2774349</v>
      </c>
      <c r="K47" s="156"/>
      <c r="L47" s="157"/>
      <c r="M47" s="158"/>
      <c r="N47" s="159"/>
      <c r="O47" s="164">
        <f t="shared" si="9"/>
        <v>0</v>
      </c>
      <c r="P47">
        <f t="shared" si="11"/>
        <v>3.2291699999999998E-4</v>
      </c>
      <c r="S47">
        <v>0.03</v>
      </c>
    </row>
    <row r="48" spans="2:19" ht="15.75" thickBot="1" x14ac:dyDescent="0.3">
      <c r="B48" s="77"/>
      <c r="C48" s="31"/>
      <c r="D48" s="31"/>
      <c r="E48" s="75"/>
      <c r="F48" s="75"/>
      <c r="G48" s="75"/>
      <c r="H48" s="75"/>
      <c r="I48" s="76"/>
      <c r="K48" s="247" t="s">
        <v>120</v>
      </c>
      <c r="L48" s="248"/>
      <c r="M48" s="248"/>
      <c r="N48" s="249"/>
      <c r="O48" s="42">
        <f>ROUND(SUM(O10:O30),2)</f>
        <v>0</v>
      </c>
    </row>
    <row r="49" spans="2:15" ht="15.75" thickBot="1" x14ac:dyDescent="0.3">
      <c r="B49" s="74"/>
      <c r="C49" s="75"/>
      <c r="D49" s="75"/>
      <c r="E49" s="75"/>
      <c r="F49" s="75"/>
      <c r="G49" s="75"/>
      <c r="H49" s="75"/>
      <c r="I49" s="76"/>
      <c r="K49" s="247" t="s">
        <v>138</v>
      </c>
      <c r="L49" s="248"/>
      <c r="M49" s="248"/>
      <c r="N49" s="249"/>
      <c r="O49" s="10" t="str">
        <f>IF(O48&lt;=E7,E2,IF(O48&lt;=F7,F2,IF(O48&lt;=G7,G2,IF(O48&lt;=H7,H2,IF(O48&lt;=I7,I2,"N/A")))))</f>
        <v>BD210W Series</v>
      </c>
    </row>
    <row r="50" spans="2:15" ht="15.75" thickBot="1" x14ac:dyDescent="0.3">
      <c r="B50" s="32"/>
      <c r="C50" s="33"/>
      <c r="D50" s="33"/>
      <c r="E50" s="33"/>
      <c r="F50" s="33"/>
      <c r="G50" s="33"/>
      <c r="H50" s="33"/>
      <c r="I50" s="34"/>
      <c r="K50" s="288" t="s">
        <v>128</v>
      </c>
      <c r="L50" s="289"/>
      <c r="M50" s="289"/>
      <c r="N50" s="290"/>
      <c r="O50" s="202">
        <f>IF(O49=E2,O48*((5+14.7)/14.7)/E3/60,IF(O49=F2,O48*((5+14.7)/14.7)/F3/60,IF(O49=G2,O48*((5+14.7)/14.7)/G3/60,IF(O49=H2,O48*((5+14.7)/14.7)/H3/60,IF(O49=I2,O48*((5+14.7)/14.7)/I3/60)))))</f>
        <v>0</v>
      </c>
    </row>
    <row r="52" spans="2:15" ht="15.75" hidden="1" thickBot="1" x14ac:dyDescent="0.3">
      <c r="B52" s="5" t="s">
        <v>76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2:15" ht="45.75" hidden="1" customHeight="1" thickBot="1" x14ac:dyDescent="0.3">
      <c r="B53" s="2" t="s">
        <v>31</v>
      </c>
      <c r="C53" s="104" t="s">
        <v>32</v>
      </c>
      <c r="D53" s="2" t="s">
        <v>37</v>
      </c>
      <c r="E53" s="2" t="s">
        <v>47</v>
      </c>
      <c r="F53" s="2" t="s">
        <v>77</v>
      </c>
      <c r="G53" s="2" t="s">
        <v>36</v>
      </c>
      <c r="H53" s="2" t="s">
        <v>45</v>
      </c>
      <c r="I53" s="22" t="s">
        <v>38</v>
      </c>
      <c r="J53" s="11"/>
      <c r="K53" s="291" t="s">
        <v>9</v>
      </c>
      <c r="L53" s="292"/>
      <c r="M53" s="292"/>
      <c r="N53" s="292"/>
      <c r="O53" s="293"/>
    </row>
    <row r="54" spans="2:15" ht="15" hidden="1" customHeight="1" x14ac:dyDescent="0.25">
      <c r="B54" s="294" t="s">
        <v>44</v>
      </c>
      <c r="C54" s="261" t="s">
        <v>10</v>
      </c>
      <c r="D54" s="283">
        <v>0.12</v>
      </c>
      <c r="E54" s="284">
        <v>173</v>
      </c>
      <c r="F54" s="284">
        <v>37</v>
      </c>
      <c r="G54" s="284">
        <v>120</v>
      </c>
      <c r="H54" s="285" t="s">
        <v>14</v>
      </c>
      <c r="I54" s="61" t="s">
        <v>86</v>
      </c>
      <c r="J54" s="16"/>
      <c r="K54" s="281" t="s">
        <v>11</v>
      </c>
      <c r="L54" s="281"/>
      <c r="M54" s="281"/>
      <c r="N54" s="281"/>
      <c r="O54" s="282"/>
    </row>
    <row r="55" spans="2:15" hidden="1" x14ac:dyDescent="0.25">
      <c r="B55" s="295"/>
      <c r="C55" s="262"/>
      <c r="D55" s="269"/>
      <c r="E55" s="271"/>
      <c r="F55" s="271"/>
      <c r="G55" s="271"/>
      <c r="H55" s="273"/>
      <c r="I55" s="62" t="s">
        <v>87</v>
      </c>
      <c r="J55" s="17"/>
      <c r="K55" s="253" t="s">
        <v>12</v>
      </c>
      <c r="L55" s="253"/>
      <c r="M55" s="253"/>
      <c r="N55" s="253"/>
      <c r="O55" s="254"/>
    </row>
    <row r="56" spans="2:15" ht="15" hidden="1" customHeight="1" x14ac:dyDescent="0.25">
      <c r="B56" s="295"/>
      <c r="C56" s="297" t="s">
        <v>13</v>
      </c>
      <c r="D56" s="268">
        <v>0.5</v>
      </c>
      <c r="E56" s="270">
        <v>720</v>
      </c>
      <c r="F56" s="270">
        <v>127</v>
      </c>
      <c r="G56" s="270">
        <v>120</v>
      </c>
      <c r="H56" s="272" t="s">
        <v>14</v>
      </c>
      <c r="I56" s="62" t="s">
        <v>87</v>
      </c>
      <c r="J56" s="17"/>
      <c r="K56" s="253" t="s">
        <v>15</v>
      </c>
      <c r="L56" s="253"/>
      <c r="M56" s="253"/>
      <c r="N56" s="253"/>
      <c r="O56" s="254"/>
    </row>
    <row r="57" spans="2:15" hidden="1" x14ac:dyDescent="0.25">
      <c r="B57" s="295"/>
      <c r="C57" s="262"/>
      <c r="D57" s="269"/>
      <c r="E57" s="271"/>
      <c r="F57" s="271"/>
      <c r="G57" s="271"/>
      <c r="H57" s="273"/>
      <c r="I57" s="62" t="s">
        <v>88</v>
      </c>
      <c r="J57" s="17"/>
      <c r="K57" s="253" t="s">
        <v>16</v>
      </c>
      <c r="L57" s="253"/>
      <c r="M57" s="253"/>
      <c r="N57" s="253"/>
      <c r="O57" s="254"/>
    </row>
    <row r="58" spans="2:15" ht="15.75" hidden="1" thickBot="1" x14ac:dyDescent="0.3">
      <c r="B58" s="296"/>
      <c r="C58" s="59" t="s">
        <v>17</v>
      </c>
      <c r="D58" s="106">
        <v>0.09</v>
      </c>
      <c r="E58" s="109">
        <v>129</v>
      </c>
      <c r="F58" s="109">
        <v>30</v>
      </c>
      <c r="G58" s="109">
        <v>120</v>
      </c>
      <c r="H58" s="60" t="s">
        <v>18</v>
      </c>
      <c r="I58" s="63" t="s">
        <v>86</v>
      </c>
      <c r="J58" s="18"/>
      <c r="K58" s="298"/>
      <c r="L58" s="298"/>
      <c r="M58" s="298"/>
      <c r="N58" s="298"/>
      <c r="O58" s="299"/>
    </row>
    <row r="59" spans="2:15" ht="9.75" hidden="1" customHeight="1" thickBot="1" x14ac:dyDescent="0.3">
      <c r="B59" s="3"/>
      <c r="C59" s="45"/>
      <c r="D59" s="47"/>
      <c r="E59" s="4"/>
      <c r="F59" s="4"/>
      <c r="G59" s="4"/>
      <c r="H59" s="20"/>
      <c r="I59" s="64"/>
      <c r="J59" s="9"/>
      <c r="K59" s="255"/>
      <c r="L59" s="256"/>
      <c r="M59" s="256"/>
      <c r="N59" s="256"/>
      <c r="O59" s="257"/>
    </row>
    <row r="60" spans="2:15" hidden="1" x14ac:dyDescent="0.25">
      <c r="B60" s="258" t="s">
        <v>19</v>
      </c>
      <c r="C60" s="57" t="s">
        <v>51</v>
      </c>
      <c r="D60" s="283">
        <v>0.5</v>
      </c>
      <c r="E60" s="284">
        <v>750</v>
      </c>
      <c r="F60" s="284">
        <v>193</v>
      </c>
      <c r="G60" s="284">
        <v>120</v>
      </c>
      <c r="H60" s="15" t="s">
        <v>20</v>
      </c>
      <c r="I60" s="61" t="s">
        <v>89</v>
      </c>
      <c r="J60" s="52"/>
      <c r="K60" s="281"/>
      <c r="L60" s="281"/>
      <c r="M60" s="281"/>
      <c r="N60" s="281"/>
      <c r="O60" s="282"/>
    </row>
    <row r="61" spans="2:15" hidden="1" x14ac:dyDescent="0.25">
      <c r="B61" s="259"/>
      <c r="C61" s="58" t="s">
        <v>50</v>
      </c>
      <c r="D61" s="269"/>
      <c r="E61" s="271"/>
      <c r="F61" s="271"/>
      <c r="G61" s="271"/>
      <c r="H61" s="14" t="s">
        <v>21</v>
      </c>
      <c r="I61" s="62" t="s">
        <v>87</v>
      </c>
      <c r="J61" s="38"/>
      <c r="K61" s="253"/>
      <c r="L61" s="253"/>
      <c r="M61" s="253"/>
      <c r="N61" s="253"/>
      <c r="O61" s="254"/>
    </row>
    <row r="62" spans="2:15" hidden="1" x14ac:dyDescent="0.25">
      <c r="B62" s="259"/>
      <c r="C62" s="58" t="s">
        <v>49</v>
      </c>
      <c r="D62" s="268">
        <v>0.75</v>
      </c>
      <c r="E62" s="270">
        <v>1080</v>
      </c>
      <c r="F62" s="270">
        <v>282</v>
      </c>
      <c r="G62" s="270">
        <v>120</v>
      </c>
      <c r="H62" s="14" t="s">
        <v>20</v>
      </c>
      <c r="I62" s="62" t="s">
        <v>90</v>
      </c>
      <c r="J62" s="38"/>
      <c r="K62" s="253"/>
      <c r="L62" s="253"/>
      <c r="M62" s="253"/>
      <c r="N62" s="253"/>
      <c r="O62" s="254"/>
    </row>
    <row r="63" spans="2:15" hidden="1" x14ac:dyDescent="0.25">
      <c r="B63" s="259"/>
      <c r="C63" s="58" t="s">
        <v>48</v>
      </c>
      <c r="D63" s="269"/>
      <c r="E63" s="271"/>
      <c r="F63" s="271"/>
      <c r="G63" s="271"/>
      <c r="H63" s="100" t="s">
        <v>22</v>
      </c>
      <c r="I63" s="65" t="s">
        <v>88</v>
      </c>
      <c r="J63" s="38"/>
      <c r="K63" s="253"/>
      <c r="L63" s="253"/>
      <c r="M63" s="253"/>
      <c r="N63" s="253"/>
      <c r="O63" s="254"/>
    </row>
    <row r="64" spans="2:15" hidden="1" x14ac:dyDescent="0.25">
      <c r="B64" s="259"/>
      <c r="C64" s="267" t="s">
        <v>46</v>
      </c>
      <c r="D64" s="105">
        <v>0.14000000000000001</v>
      </c>
      <c r="E64" s="46">
        <v>300</v>
      </c>
      <c r="F64" s="108">
        <v>81</v>
      </c>
      <c r="G64" s="108">
        <v>120</v>
      </c>
      <c r="H64" s="14" t="s">
        <v>20</v>
      </c>
      <c r="I64" s="62" t="s">
        <v>86</v>
      </c>
      <c r="J64" s="38"/>
      <c r="K64" s="253"/>
      <c r="L64" s="253"/>
      <c r="M64" s="253"/>
      <c r="N64" s="253"/>
      <c r="O64" s="254"/>
    </row>
    <row r="65" spans="2:15" hidden="1" x14ac:dyDescent="0.25">
      <c r="B65" s="259"/>
      <c r="C65" s="262"/>
      <c r="D65" s="105">
        <v>0.11</v>
      </c>
      <c r="E65" s="108">
        <v>240</v>
      </c>
      <c r="F65" s="108" t="s">
        <v>75</v>
      </c>
      <c r="G65" s="108">
        <v>240</v>
      </c>
      <c r="H65" s="14" t="s">
        <v>20</v>
      </c>
      <c r="I65" s="62" t="s">
        <v>91</v>
      </c>
      <c r="J65" s="38"/>
      <c r="K65" s="253"/>
      <c r="L65" s="253"/>
      <c r="M65" s="253"/>
      <c r="N65" s="253"/>
      <c r="O65" s="254"/>
    </row>
    <row r="66" spans="2:15" hidden="1" x14ac:dyDescent="0.25">
      <c r="B66" s="259"/>
      <c r="C66" s="267" t="s">
        <v>43</v>
      </c>
      <c r="D66" s="105">
        <v>0.59</v>
      </c>
      <c r="E66" s="108">
        <v>1000</v>
      </c>
      <c r="F66" s="108">
        <v>209</v>
      </c>
      <c r="G66" s="108">
        <v>120</v>
      </c>
      <c r="H66" s="14" t="s">
        <v>20</v>
      </c>
      <c r="I66" s="62" t="s">
        <v>90</v>
      </c>
      <c r="J66" s="38"/>
      <c r="K66" s="253" t="s">
        <v>96</v>
      </c>
      <c r="L66" s="253"/>
      <c r="M66" s="253"/>
      <c r="N66" s="253"/>
      <c r="O66" s="254"/>
    </row>
    <row r="67" spans="2:15" hidden="1" x14ac:dyDescent="0.25">
      <c r="B67" s="259"/>
      <c r="C67" s="262"/>
      <c r="D67" s="105">
        <v>0.49</v>
      </c>
      <c r="E67" s="108">
        <v>825</v>
      </c>
      <c r="F67" s="108">
        <v>191</v>
      </c>
      <c r="G67" s="108">
        <v>240</v>
      </c>
      <c r="H67" s="14" t="s">
        <v>20</v>
      </c>
      <c r="I67" s="65" t="s">
        <v>92</v>
      </c>
      <c r="J67" s="38"/>
      <c r="K67" s="253" t="s">
        <v>97</v>
      </c>
      <c r="L67" s="253"/>
      <c r="M67" s="253"/>
      <c r="N67" s="253"/>
      <c r="O67" s="254"/>
    </row>
    <row r="68" spans="2:15" hidden="1" x14ac:dyDescent="0.25">
      <c r="B68" s="259"/>
      <c r="C68" s="267">
        <v>2400</v>
      </c>
      <c r="D68" s="268">
        <v>1.7</v>
      </c>
      <c r="E68" s="270">
        <v>3500</v>
      </c>
      <c r="F68" s="270">
        <v>716</v>
      </c>
      <c r="G68" s="108">
        <v>120</v>
      </c>
      <c r="H68" s="14" t="s">
        <v>20</v>
      </c>
      <c r="I68" s="65" t="s">
        <v>93</v>
      </c>
      <c r="J68" s="38"/>
      <c r="K68" s="253" t="s">
        <v>98</v>
      </c>
      <c r="L68" s="253"/>
      <c r="M68" s="253"/>
      <c r="N68" s="253"/>
      <c r="O68" s="254"/>
    </row>
    <row r="69" spans="2:15" hidden="1" x14ac:dyDescent="0.25">
      <c r="B69" s="259"/>
      <c r="C69" s="262"/>
      <c r="D69" s="269"/>
      <c r="E69" s="271"/>
      <c r="F69" s="271"/>
      <c r="G69" s="108">
        <v>240</v>
      </c>
      <c r="H69" s="14" t="s">
        <v>20</v>
      </c>
      <c r="I69" s="65" t="s">
        <v>94</v>
      </c>
      <c r="J69" s="38"/>
      <c r="K69" s="253" t="s">
        <v>99</v>
      </c>
      <c r="L69" s="253"/>
      <c r="M69" s="253"/>
      <c r="N69" s="253"/>
      <c r="O69" s="254"/>
    </row>
    <row r="70" spans="2:15" hidden="1" x14ac:dyDescent="0.25">
      <c r="B70" s="259"/>
      <c r="C70" s="267">
        <v>3200</v>
      </c>
      <c r="D70" s="268">
        <v>2.2000000000000002</v>
      </c>
      <c r="E70" s="270">
        <v>4100</v>
      </c>
      <c r="F70" s="270">
        <v>925</v>
      </c>
      <c r="G70" s="108">
        <v>120</v>
      </c>
      <c r="H70" s="14" t="s">
        <v>20</v>
      </c>
      <c r="I70" s="65" t="s">
        <v>93</v>
      </c>
      <c r="J70" s="38"/>
      <c r="K70" s="253" t="s">
        <v>98</v>
      </c>
      <c r="L70" s="253"/>
      <c r="M70" s="253"/>
      <c r="N70" s="253"/>
      <c r="O70" s="254"/>
    </row>
    <row r="71" spans="2:15" ht="15.75" hidden="1" thickBot="1" x14ac:dyDescent="0.3">
      <c r="B71" s="260"/>
      <c r="C71" s="274"/>
      <c r="D71" s="286"/>
      <c r="E71" s="287"/>
      <c r="F71" s="287"/>
      <c r="G71" s="109">
        <v>240</v>
      </c>
      <c r="H71" s="60" t="s">
        <v>20</v>
      </c>
      <c r="I71" s="63" t="s">
        <v>94</v>
      </c>
      <c r="J71" s="38"/>
      <c r="K71" s="253" t="s">
        <v>99</v>
      </c>
      <c r="L71" s="253"/>
      <c r="M71" s="253"/>
      <c r="N71" s="253"/>
      <c r="O71" s="254"/>
    </row>
    <row r="72" spans="2:15" ht="9.75" hidden="1" customHeight="1" thickBot="1" x14ac:dyDescent="0.3">
      <c r="B72" s="3"/>
      <c r="C72" s="45"/>
      <c r="D72" s="47"/>
      <c r="E72" s="4"/>
      <c r="F72" s="4"/>
      <c r="G72" s="4"/>
      <c r="H72" s="20"/>
      <c r="I72" s="64"/>
      <c r="J72" s="8"/>
      <c r="K72" s="255"/>
      <c r="L72" s="256"/>
      <c r="M72" s="256"/>
      <c r="N72" s="256"/>
      <c r="O72" s="257"/>
    </row>
    <row r="73" spans="2:15" hidden="1" x14ac:dyDescent="0.25">
      <c r="B73" s="258" t="s">
        <v>23</v>
      </c>
      <c r="C73" s="261" t="s">
        <v>24</v>
      </c>
      <c r="D73" s="283">
        <v>0.2</v>
      </c>
      <c r="E73" s="284">
        <v>288</v>
      </c>
      <c r="F73" s="284">
        <v>101</v>
      </c>
      <c r="G73" s="284">
        <v>120</v>
      </c>
      <c r="H73" s="285" t="s">
        <v>25</v>
      </c>
      <c r="I73" s="61" t="s">
        <v>86</v>
      </c>
      <c r="J73" s="16"/>
      <c r="K73" s="281" t="s">
        <v>11</v>
      </c>
      <c r="L73" s="281"/>
      <c r="M73" s="281"/>
      <c r="N73" s="281"/>
      <c r="O73" s="282"/>
    </row>
    <row r="74" spans="2:15" hidden="1" x14ac:dyDescent="0.25">
      <c r="B74" s="259"/>
      <c r="C74" s="262"/>
      <c r="D74" s="269"/>
      <c r="E74" s="271"/>
      <c r="F74" s="271"/>
      <c r="G74" s="271"/>
      <c r="H74" s="273"/>
      <c r="I74" s="62" t="s">
        <v>89</v>
      </c>
      <c r="J74" s="17"/>
      <c r="K74" s="253" t="s">
        <v>12</v>
      </c>
      <c r="L74" s="253"/>
      <c r="M74" s="253"/>
      <c r="N74" s="253"/>
      <c r="O74" s="254"/>
    </row>
    <row r="75" spans="2:15" hidden="1" x14ac:dyDescent="0.25">
      <c r="B75" s="259"/>
      <c r="C75" s="267" t="s">
        <v>26</v>
      </c>
      <c r="D75" s="268">
        <v>0.17</v>
      </c>
      <c r="E75" s="270">
        <v>245</v>
      </c>
      <c r="F75" s="270">
        <v>85</v>
      </c>
      <c r="G75" s="270">
        <v>240</v>
      </c>
      <c r="H75" s="272" t="s">
        <v>25</v>
      </c>
      <c r="I75" s="62" t="s">
        <v>91</v>
      </c>
      <c r="J75" s="17"/>
      <c r="K75" s="253" t="s">
        <v>11</v>
      </c>
      <c r="L75" s="253"/>
      <c r="M75" s="253"/>
      <c r="N75" s="253"/>
      <c r="O75" s="254"/>
    </row>
    <row r="76" spans="2:15" hidden="1" x14ac:dyDescent="0.25">
      <c r="B76" s="259"/>
      <c r="C76" s="262"/>
      <c r="D76" s="269"/>
      <c r="E76" s="271"/>
      <c r="F76" s="271"/>
      <c r="G76" s="271"/>
      <c r="H76" s="273"/>
      <c r="I76" s="62" t="s">
        <v>95</v>
      </c>
      <c r="J76" s="17"/>
      <c r="K76" s="253" t="s">
        <v>12</v>
      </c>
      <c r="L76" s="253"/>
      <c r="M76" s="253"/>
      <c r="N76" s="253"/>
      <c r="O76" s="254"/>
    </row>
    <row r="77" spans="2:15" hidden="1" x14ac:dyDescent="0.25">
      <c r="B77" s="259"/>
      <c r="C77" s="58" t="s">
        <v>27</v>
      </c>
      <c r="D77" s="105">
        <v>0.7</v>
      </c>
      <c r="E77" s="108">
        <v>1008</v>
      </c>
      <c r="F77" s="108">
        <v>354</v>
      </c>
      <c r="G77" s="108">
        <v>120</v>
      </c>
      <c r="H77" s="14" t="s">
        <v>25</v>
      </c>
      <c r="I77" s="62" t="s">
        <v>90</v>
      </c>
      <c r="J77" s="17"/>
      <c r="K77" s="253"/>
      <c r="L77" s="253"/>
      <c r="M77" s="253"/>
      <c r="N77" s="253"/>
      <c r="O77" s="254"/>
    </row>
    <row r="78" spans="2:15" ht="15.75" hidden="1" thickBot="1" x14ac:dyDescent="0.3">
      <c r="B78" s="260"/>
      <c r="C78" s="59" t="s">
        <v>28</v>
      </c>
      <c r="D78" s="106">
        <v>0.57999999999999996</v>
      </c>
      <c r="E78" s="109">
        <v>836</v>
      </c>
      <c r="F78" s="109">
        <v>294</v>
      </c>
      <c r="G78" s="109">
        <v>240</v>
      </c>
      <c r="H78" s="60" t="s">
        <v>25</v>
      </c>
      <c r="I78" s="63" t="s">
        <v>92</v>
      </c>
      <c r="J78" s="17"/>
      <c r="K78" s="253"/>
      <c r="L78" s="253"/>
      <c r="M78" s="253"/>
      <c r="N78" s="253"/>
      <c r="O78" s="254"/>
    </row>
    <row r="79" spans="2:15" ht="9.75" hidden="1" customHeight="1" thickBot="1" x14ac:dyDescent="0.3">
      <c r="B79" s="12"/>
      <c r="C79" s="44"/>
      <c r="D79" s="48"/>
      <c r="E79" s="13"/>
      <c r="F79" s="13"/>
      <c r="G79" s="13"/>
      <c r="H79" s="21"/>
      <c r="I79" s="66"/>
      <c r="J79" s="8"/>
      <c r="K79" s="255"/>
      <c r="L79" s="256"/>
      <c r="M79" s="256"/>
      <c r="N79" s="256"/>
      <c r="O79" s="257"/>
    </row>
    <row r="80" spans="2:15" hidden="1" x14ac:dyDescent="0.25">
      <c r="B80" s="258" t="s">
        <v>29</v>
      </c>
      <c r="C80" s="261" t="s">
        <v>39</v>
      </c>
      <c r="D80" s="263">
        <v>0.5</v>
      </c>
      <c r="E80" s="265">
        <v>750</v>
      </c>
      <c r="F80" s="265">
        <v>253</v>
      </c>
      <c r="G80" s="107">
        <v>120</v>
      </c>
      <c r="H80" s="15" t="s">
        <v>34</v>
      </c>
      <c r="I80" s="61" t="s">
        <v>88</v>
      </c>
      <c r="J80" s="16"/>
      <c r="K80" s="280"/>
      <c r="L80" s="281"/>
      <c r="M80" s="281"/>
      <c r="N80" s="281"/>
      <c r="O80" s="282"/>
    </row>
    <row r="81" spans="2:15" hidden="1" x14ac:dyDescent="0.25">
      <c r="B81" s="259"/>
      <c r="C81" s="262"/>
      <c r="D81" s="264"/>
      <c r="E81" s="266"/>
      <c r="F81" s="266"/>
      <c r="G81" s="108">
        <v>240</v>
      </c>
      <c r="H81" s="14" t="s">
        <v>34</v>
      </c>
      <c r="I81" s="62" t="s">
        <v>100</v>
      </c>
      <c r="J81" s="17"/>
      <c r="K81" s="252"/>
      <c r="L81" s="253"/>
      <c r="M81" s="253"/>
      <c r="N81" s="253"/>
      <c r="O81" s="254"/>
    </row>
    <row r="82" spans="2:15" hidden="1" x14ac:dyDescent="0.25">
      <c r="B82" s="259"/>
      <c r="C82" s="267" t="s">
        <v>40</v>
      </c>
      <c r="D82" s="264">
        <v>1.4</v>
      </c>
      <c r="E82" s="266">
        <v>2016</v>
      </c>
      <c r="F82" s="266">
        <v>706</v>
      </c>
      <c r="G82" s="108">
        <v>120</v>
      </c>
      <c r="H82" s="14" t="s">
        <v>33</v>
      </c>
      <c r="I82" s="62" t="s">
        <v>101</v>
      </c>
      <c r="J82" s="17"/>
      <c r="K82" s="252"/>
      <c r="L82" s="253"/>
      <c r="M82" s="253"/>
      <c r="N82" s="253"/>
      <c r="O82" s="254"/>
    </row>
    <row r="83" spans="2:15" hidden="1" x14ac:dyDescent="0.25">
      <c r="B83" s="259"/>
      <c r="C83" s="262"/>
      <c r="D83" s="264"/>
      <c r="E83" s="266"/>
      <c r="F83" s="266"/>
      <c r="G83" s="108">
        <v>240</v>
      </c>
      <c r="H83" s="14" t="s">
        <v>33</v>
      </c>
      <c r="I83" s="62" t="s">
        <v>101</v>
      </c>
      <c r="J83" s="17"/>
      <c r="K83" s="252"/>
      <c r="L83" s="253"/>
      <c r="M83" s="253"/>
      <c r="N83" s="253"/>
      <c r="O83" s="254"/>
    </row>
    <row r="84" spans="2:15" hidden="1" x14ac:dyDescent="0.25">
      <c r="B84" s="259"/>
      <c r="C84" s="267" t="s">
        <v>41</v>
      </c>
      <c r="D84" s="264">
        <v>1.4</v>
      </c>
      <c r="E84" s="266">
        <v>2016</v>
      </c>
      <c r="F84" s="266">
        <v>706</v>
      </c>
      <c r="G84" s="108">
        <v>120</v>
      </c>
      <c r="H84" s="14" t="s">
        <v>35</v>
      </c>
      <c r="I84" s="62" t="s">
        <v>102</v>
      </c>
      <c r="J84" s="17"/>
      <c r="K84" s="252"/>
      <c r="L84" s="253"/>
      <c r="M84" s="253"/>
      <c r="N84" s="253"/>
      <c r="O84" s="254"/>
    </row>
    <row r="85" spans="2:15" ht="15.75" hidden="1" thickBot="1" x14ac:dyDescent="0.3">
      <c r="B85" s="260"/>
      <c r="C85" s="274"/>
      <c r="D85" s="275"/>
      <c r="E85" s="276"/>
      <c r="F85" s="276"/>
      <c r="G85" s="109">
        <v>240</v>
      </c>
      <c r="H85" s="60" t="s">
        <v>35</v>
      </c>
      <c r="I85" s="63" t="s">
        <v>94</v>
      </c>
      <c r="J85" s="19"/>
      <c r="K85" s="277"/>
      <c r="L85" s="278"/>
      <c r="M85" s="278"/>
      <c r="N85" s="278"/>
      <c r="O85" s="279"/>
    </row>
    <row r="86" spans="2:15" hidden="1" x14ac:dyDescent="0.25">
      <c r="B86" s="49" t="s">
        <v>30</v>
      </c>
      <c r="C86" s="50"/>
      <c r="D86" s="50"/>
      <c r="E86" s="50"/>
      <c r="F86" s="50"/>
      <c r="G86" s="50"/>
      <c r="H86" s="50"/>
      <c r="I86" s="50"/>
      <c r="J86" s="51"/>
      <c r="K86" s="51"/>
      <c r="L86" s="51"/>
      <c r="M86" s="51"/>
      <c r="N86" s="51"/>
      <c r="O86" s="52"/>
    </row>
    <row r="87" spans="2:15" ht="15.75" hidden="1" thickBot="1" x14ac:dyDescent="0.3">
      <c r="B87" s="53" t="s">
        <v>42</v>
      </c>
      <c r="C87" s="54"/>
      <c r="D87" s="54"/>
      <c r="E87" s="54"/>
      <c r="F87" s="54"/>
      <c r="G87" s="54"/>
      <c r="H87" s="54"/>
      <c r="I87" s="54"/>
      <c r="J87" s="55"/>
      <c r="K87" s="55"/>
      <c r="L87" s="55"/>
      <c r="M87" s="55"/>
      <c r="N87" s="55"/>
      <c r="O87" s="56"/>
    </row>
    <row r="89" spans="2:15" x14ac:dyDescent="0.25">
      <c r="E89" s="1"/>
      <c r="F89" s="1"/>
      <c r="G89" s="1"/>
      <c r="H89" s="1"/>
      <c r="I89" s="1"/>
    </row>
    <row r="90" spans="2:15" x14ac:dyDescent="0.25">
      <c r="E90" s="1"/>
      <c r="F90" s="1"/>
      <c r="G90" s="1"/>
      <c r="H90" s="1"/>
      <c r="I90" s="1"/>
    </row>
    <row r="91" spans="2:15" x14ac:dyDescent="0.25">
      <c r="E91" s="1"/>
      <c r="F91" s="1"/>
      <c r="G91" s="1"/>
      <c r="H91" s="1"/>
      <c r="I91" s="1"/>
    </row>
    <row r="92" spans="2:15" x14ac:dyDescent="0.25">
      <c r="E92" s="1"/>
      <c r="F92" s="1"/>
      <c r="G92" s="1"/>
      <c r="H92" s="1"/>
      <c r="I92" s="1"/>
    </row>
    <row r="93" spans="2:15" x14ac:dyDescent="0.25">
      <c r="E93" s="1"/>
      <c r="F93" s="1"/>
      <c r="G93" s="1"/>
      <c r="H93" s="1"/>
      <c r="I93" s="1"/>
    </row>
    <row r="94" spans="2:15" x14ac:dyDescent="0.25">
      <c r="E94" s="1"/>
      <c r="F94" s="1"/>
      <c r="G94" s="1"/>
      <c r="H94" s="1"/>
      <c r="I94" s="1"/>
    </row>
    <row r="95" spans="2:15" x14ac:dyDescent="0.25">
      <c r="E95" s="1"/>
      <c r="F95" s="1"/>
      <c r="G95" s="1"/>
      <c r="H95" s="1"/>
      <c r="I95" s="1"/>
    </row>
    <row r="96" spans="2:15" x14ac:dyDescent="0.25">
      <c r="E96" s="1"/>
      <c r="F96" s="1"/>
      <c r="G96" s="1"/>
      <c r="H96" s="1"/>
      <c r="I96" s="1"/>
    </row>
    <row r="97" spans="5:9" x14ac:dyDescent="0.25">
      <c r="E97" s="1"/>
      <c r="F97" s="1"/>
      <c r="G97" s="1"/>
      <c r="H97" s="1"/>
      <c r="I97" s="1"/>
    </row>
    <row r="98" spans="5:9" x14ac:dyDescent="0.25">
      <c r="E98" s="1"/>
      <c r="F98" s="1"/>
      <c r="G98" s="1"/>
      <c r="H98" s="1"/>
      <c r="I98" s="1"/>
    </row>
  </sheetData>
  <sheetProtection algorithmName="SHA-512" hashValue="rEsnanHoY99WddoYBVmSrIZb5xduDDZEuP4sPl/2JxGwSJW48RpkEBFmcr2hDUajkiU4Y8lYOstBEUOmw2KOGg==" saltValue="551gs5KhdKv0HEM3e4IN8Q==" spinCount="100000" sheet="1" objects="1" scenarios="1"/>
  <mergeCells count="104">
    <mergeCell ref="E8:I9"/>
    <mergeCell ref="D8:D9"/>
    <mergeCell ref="C2:D2"/>
    <mergeCell ref="K2:O2"/>
    <mergeCell ref="C3:D3"/>
    <mergeCell ref="K3:O7"/>
    <mergeCell ref="C4:D4"/>
    <mergeCell ref="C5:D5"/>
    <mergeCell ref="C6:D6"/>
    <mergeCell ref="C7:D7"/>
    <mergeCell ref="K48:N48"/>
    <mergeCell ref="K49:N49"/>
    <mergeCell ref="K50:N50"/>
    <mergeCell ref="K53:O53"/>
    <mergeCell ref="B54:B58"/>
    <mergeCell ref="C54:C55"/>
    <mergeCell ref="D54:D55"/>
    <mergeCell ref="E54:E55"/>
    <mergeCell ref="F54:F55"/>
    <mergeCell ref="G54:G55"/>
    <mergeCell ref="H54:H55"/>
    <mergeCell ref="K54:O54"/>
    <mergeCell ref="K55:O55"/>
    <mergeCell ref="C56:C57"/>
    <mergeCell ref="D56:D57"/>
    <mergeCell ref="E56:E57"/>
    <mergeCell ref="F56:F57"/>
    <mergeCell ref="G56:G57"/>
    <mergeCell ref="H56:H57"/>
    <mergeCell ref="K56:O56"/>
    <mergeCell ref="K57:O57"/>
    <mergeCell ref="K58:O58"/>
    <mergeCell ref="K59:O59"/>
    <mergeCell ref="B60:B71"/>
    <mergeCell ref="D60:D61"/>
    <mergeCell ref="E60:E61"/>
    <mergeCell ref="F60:F61"/>
    <mergeCell ref="G60:G61"/>
    <mergeCell ref="K60:O60"/>
    <mergeCell ref="K61:O61"/>
    <mergeCell ref="C64:C65"/>
    <mergeCell ref="K64:O64"/>
    <mergeCell ref="K65:O65"/>
    <mergeCell ref="C66:C67"/>
    <mergeCell ref="K66:O66"/>
    <mergeCell ref="K67:O67"/>
    <mergeCell ref="D62:D63"/>
    <mergeCell ref="E62:E63"/>
    <mergeCell ref="F62:F63"/>
    <mergeCell ref="G62:G63"/>
    <mergeCell ref="K62:O62"/>
    <mergeCell ref="K63:O63"/>
    <mergeCell ref="C70:C71"/>
    <mergeCell ref="D70:D71"/>
    <mergeCell ref="E70:E71"/>
    <mergeCell ref="F70:F71"/>
    <mergeCell ref="K73:O73"/>
    <mergeCell ref="K74:O74"/>
    <mergeCell ref="K75:O75"/>
    <mergeCell ref="K76:O76"/>
    <mergeCell ref="K77:O77"/>
    <mergeCell ref="K78:O78"/>
    <mergeCell ref="K70:O70"/>
    <mergeCell ref="K71:O71"/>
    <mergeCell ref="C68:C69"/>
    <mergeCell ref="D68:D69"/>
    <mergeCell ref="E68:E69"/>
    <mergeCell ref="F68:F69"/>
    <mergeCell ref="K68:O68"/>
    <mergeCell ref="K69:O69"/>
    <mergeCell ref="K72:O72"/>
    <mergeCell ref="E82:E83"/>
    <mergeCell ref="F82:F83"/>
    <mergeCell ref="B73:B78"/>
    <mergeCell ref="C73:C74"/>
    <mergeCell ref="D73:D74"/>
    <mergeCell ref="E73:E74"/>
    <mergeCell ref="F73:F74"/>
    <mergeCell ref="G73:G74"/>
    <mergeCell ref="H73:H74"/>
    <mergeCell ref="K82:O82"/>
    <mergeCell ref="K83:O83"/>
    <mergeCell ref="K79:O79"/>
    <mergeCell ref="B80:B85"/>
    <mergeCell ref="C80:C81"/>
    <mergeCell ref="D80:D81"/>
    <mergeCell ref="E80:E81"/>
    <mergeCell ref="F80:F81"/>
    <mergeCell ref="C75:C76"/>
    <mergeCell ref="D75:D76"/>
    <mergeCell ref="E75:E76"/>
    <mergeCell ref="F75:F76"/>
    <mergeCell ref="G75:G76"/>
    <mergeCell ref="H75:H76"/>
    <mergeCell ref="C84:C85"/>
    <mergeCell ref="D84:D85"/>
    <mergeCell ref="E84:E85"/>
    <mergeCell ref="F84:F85"/>
    <mergeCell ref="K84:O84"/>
    <mergeCell ref="K85:O85"/>
    <mergeCell ref="K80:O80"/>
    <mergeCell ref="K81:O81"/>
    <mergeCell ref="C82:C83"/>
    <mergeCell ref="D82:D8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400849-CB08-4115-A37D-3C2CDF3CE3BE}">
          <x14:formula1>
            <xm:f>Sheet1!A10:A15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EABC-177D-4AC7-A817-F2DE66DDCBA3}">
  <dimension ref="A1:C16"/>
  <sheetViews>
    <sheetView showGridLines="0" showRowColHeaders="0" workbookViewId="0">
      <selection activeCell="C17" sqref="C17"/>
    </sheetView>
  </sheetViews>
  <sheetFormatPr defaultRowHeight="15" x14ac:dyDescent="0.25"/>
  <cols>
    <col min="1" max="1" width="9.7109375" style="99" bestFit="1" customWidth="1"/>
    <col min="2" max="2" width="9.7109375" style="99" customWidth="1"/>
    <col min="3" max="3" width="64.42578125" style="96" customWidth="1"/>
  </cols>
  <sheetData>
    <row r="1" spans="1:3" ht="15.75" thickBot="1" x14ac:dyDescent="0.3">
      <c r="A1" s="97" t="s">
        <v>125</v>
      </c>
      <c r="B1" s="97" t="s">
        <v>126</v>
      </c>
      <c r="C1" s="97" t="s">
        <v>127</v>
      </c>
    </row>
    <row r="2" spans="1:3" x14ac:dyDescent="0.25">
      <c r="A2" s="98">
        <v>44644</v>
      </c>
      <c r="B2" s="98" t="s">
        <v>124</v>
      </c>
      <c r="C2" s="96" t="s">
        <v>121</v>
      </c>
    </row>
    <row r="3" spans="1:3" x14ac:dyDescent="0.25">
      <c r="C3" s="96" t="s">
        <v>123</v>
      </c>
    </row>
    <row r="4" spans="1:3" x14ac:dyDescent="0.25">
      <c r="C4" s="96" t="s">
        <v>122</v>
      </c>
    </row>
    <row r="6" spans="1:3" x14ac:dyDescent="0.25">
      <c r="A6" s="98">
        <v>44648</v>
      </c>
      <c r="B6" s="99" t="s">
        <v>124</v>
      </c>
      <c r="C6" s="96" t="s">
        <v>134</v>
      </c>
    </row>
    <row r="7" spans="1:3" x14ac:dyDescent="0.25">
      <c r="C7" s="96" t="s">
        <v>135</v>
      </c>
    </row>
    <row r="8" spans="1:3" x14ac:dyDescent="0.25">
      <c r="C8" s="96" t="s">
        <v>136</v>
      </c>
    </row>
    <row r="10" spans="1:3" x14ac:dyDescent="0.25">
      <c r="A10" s="98">
        <v>44649</v>
      </c>
      <c r="B10" s="99" t="s">
        <v>124</v>
      </c>
      <c r="C10" s="96" t="s">
        <v>139</v>
      </c>
    </row>
    <row r="11" spans="1:3" x14ac:dyDescent="0.25">
      <c r="C11" s="96" t="s">
        <v>140</v>
      </c>
    </row>
    <row r="13" spans="1:3" x14ac:dyDescent="0.25">
      <c r="A13" s="98">
        <v>44663</v>
      </c>
      <c r="B13" s="99" t="s">
        <v>124</v>
      </c>
      <c r="C13" s="96" t="s">
        <v>161</v>
      </c>
    </row>
    <row r="14" spans="1:3" x14ac:dyDescent="0.25">
      <c r="C14" s="96" t="s">
        <v>162</v>
      </c>
    </row>
    <row r="16" spans="1:3" x14ac:dyDescent="0.25">
      <c r="A16" s="98">
        <v>44676</v>
      </c>
      <c r="B16" s="99" t="s">
        <v>124</v>
      </c>
      <c r="C16" s="96" t="s">
        <v>170</v>
      </c>
    </row>
  </sheetData>
  <sheetProtection algorithmName="SHA-512" hashValue="hKqDhQutmXol2R0zZAH+o1z0sB3yQGoH1uhumdoqRQFPx7fSba2tiDU+OTwfxSvY3byfW0fqayMIh1+aE0FgvA==" saltValue="8JKA9F5Det5t3fYXjqTZpA==" spinCount="100000"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B1F53-CBEF-4D46-9E13-9A9AF830BD15}">
  <dimension ref="A1:C15"/>
  <sheetViews>
    <sheetView workbookViewId="0">
      <selection activeCell="D24" sqref="D24"/>
    </sheetView>
  </sheetViews>
  <sheetFormatPr defaultRowHeight="15" x14ac:dyDescent="0.25"/>
  <cols>
    <col min="1" max="1" width="10.5703125" bestFit="1" customWidth="1"/>
    <col min="2" max="2" width="10.28515625" bestFit="1" customWidth="1"/>
  </cols>
  <sheetData>
    <row r="1" spans="1:3" x14ac:dyDescent="0.25">
      <c r="A1" t="s">
        <v>164</v>
      </c>
      <c r="B1" t="s">
        <v>165</v>
      </c>
      <c r="C1" t="s">
        <v>168</v>
      </c>
    </row>
    <row r="2" spans="1:3" x14ac:dyDescent="0.25">
      <c r="A2" t="s">
        <v>166</v>
      </c>
      <c r="B2">
        <v>1</v>
      </c>
      <c r="C2">
        <v>14.7</v>
      </c>
    </row>
    <row r="3" spans="1:3" x14ac:dyDescent="0.25">
      <c r="A3" s="209">
        <v>2500</v>
      </c>
      <c r="B3" s="78">
        <f>C3/$C$2</f>
        <v>0.91156462585034015</v>
      </c>
      <c r="C3">
        <v>13.4</v>
      </c>
    </row>
    <row r="4" spans="1:3" x14ac:dyDescent="0.25">
      <c r="A4" s="209">
        <v>5000</v>
      </c>
      <c r="B4" s="78">
        <f t="shared" ref="B4:B7" si="0">C4/$C$2</f>
        <v>0.82993197278911568</v>
      </c>
      <c r="C4">
        <v>12.2</v>
      </c>
    </row>
    <row r="5" spans="1:3" x14ac:dyDescent="0.25">
      <c r="A5" s="209">
        <v>7500</v>
      </c>
      <c r="B5" s="78">
        <f t="shared" si="0"/>
        <v>0.75714285714285723</v>
      </c>
      <c r="C5" s="210">
        <v>11.13</v>
      </c>
    </row>
    <row r="6" spans="1:3" x14ac:dyDescent="0.25">
      <c r="A6" s="209">
        <v>10000</v>
      </c>
      <c r="B6" s="78">
        <f t="shared" si="0"/>
        <v>0.68707482993197277</v>
      </c>
      <c r="C6">
        <v>10.1</v>
      </c>
    </row>
    <row r="7" spans="1:3" x14ac:dyDescent="0.25">
      <c r="A7" s="209">
        <v>12500</v>
      </c>
      <c r="B7" s="78">
        <f t="shared" si="0"/>
        <v>0.62312925170068034</v>
      </c>
      <c r="C7">
        <v>9.16</v>
      </c>
    </row>
    <row r="9" spans="1:3" x14ac:dyDescent="0.25">
      <c r="A9" t="s">
        <v>164</v>
      </c>
      <c r="B9" t="s">
        <v>165</v>
      </c>
      <c r="C9" t="s">
        <v>169</v>
      </c>
    </row>
    <row r="10" spans="1:3" x14ac:dyDescent="0.25">
      <c r="A10" t="s">
        <v>166</v>
      </c>
      <c r="B10">
        <v>1</v>
      </c>
      <c r="C10">
        <v>101325</v>
      </c>
    </row>
    <row r="11" spans="1:3" x14ac:dyDescent="0.25">
      <c r="A11" s="209">
        <v>1000</v>
      </c>
      <c r="B11" s="78">
        <f>C11/$C$10</f>
        <v>0.88699304219096975</v>
      </c>
      <c r="C11">
        <v>89874.57</v>
      </c>
    </row>
    <row r="12" spans="1:3" x14ac:dyDescent="0.25">
      <c r="A12" s="209">
        <v>1500</v>
      </c>
      <c r="B12" s="78">
        <f t="shared" ref="B12:B15" si="1">C12/$C$10</f>
        <v>0.8345028374043918</v>
      </c>
      <c r="C12" s="210">
        <v>84556</v>
      </c>
    </row>
    <row r="13" spans="1:3" x14ac:dyDescent="0.25">
      <c r="A13" s="209">
        <v>2000</v>
      </c>
      <c r="B13" s="78">
        <f t="shared" si="1"/>
        <v>0.78455682210708122</v>
      </c>
      <c r="C13">
        <v>79495.22</v>
      </c>
    </row>
    <row r="14" spans="1:3" x14ac:dyDescent="0.25">
      <c r="A14" s="209">
        <v>2500</v>
      </c>
      <c r="B14" s="78">
        <f t="shared" si="1"/>
        <v>0.73705926474216632</v>
      </c>
      <c r="C14">
        <v>74682.53</v>
      </c>
    </row>
    <row r="15" spans="1:3" x14ac:dyDescent="0.25">
      <c r="A15" s="209">
        <v>3000</v>
      </c>
      <c r="B15" s="78">
        <f t="shared" si="1"/>
        <v>0.69191749321490248</v>
      </c>
      <c r="C15">
        <v>70108.539999999994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be280ca-bebe-40bc-8bec-fe63f0338dbc" xsi:nil="true"/>
    <SharedWithUsers xmlns="8592f80c-bea2-48d4-82d1-7ec1187865a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4BD364913A945A40C2D7356443C2A" ma:contentTypeVersion="13" ma:contentTypeDescription="Create a new document." ma:contentTypeScope="" ma:versionID="e4066edf83c013aa5188540bbbc24d4d">
  <xsd:schema xmlns:xsd="http://www.w3.org/2001/XMLSchema" xmlns:xs="http://www.w3.org/2001/XMLSchema" xmlns:p="http://schemas.microsoft.com/office/2006/metadata/properties" xmlns:ns2="6be280ca-bebe-40bc-8bec-fe63f0338dbc" xmlns:ns3="8592f80c-bea2-48d4-82d1-7ec1187865ab" targetNamespace="http://schemas.microsoft.com/office/2006/metadata/properties" ma:root="true" ma:fieldsID="50aef18ffe06dd25f6103e0f9c46be1c" ns2:_="" ns3:_="">
    <xsd:import namespace="6be280ca-bebe-40bc-8bec-fe63f0338dbc"/>
    <xsd:import namespace="8592f80c-bea2-48d4-82d1-7ec118786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0ca-bebe-40bc-8bec-fe63f0338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2f80c-bea2-48d4-82d1-7ec118786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B2D5F-782E-4B66-932F-2A93D9AC4F6D}">
  <ds:schemaRefs>
    <ds:schemaRef ds:uri="http://schemas.microsoft.com/office/2006/metadata/properties"/>
    <ds:schemaRef ds:uri="http://schemas.microsoft.com/office/infopath/2007/PartnerControls"/>
    <ds:schemaRef ds:uri="6be280ca-bebe-40bc-8bec-fe63f0338dbc"/>
    <ds:schemaRef ds:uri="8592f80c-bea2-48d4-82d1-7ec1187865ab"/>
  </ds:schemaRefs>
</ds:datastoreItem>
</file>

<file path=customXml/itemProps2.xml><?xml version="1.0" encoding="utf-8"?>
<ds:datastoreItem xmlns:ds="http://schemas.openxmlformats.org/officeDocument/2006/customXml" ds:itemID="{A7D33F8B-6AC6-4D56-8ECB-35D8E6993E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76A7A4-D4B1-49ED-A33E-3BCB95AB8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e280ca-bebe-40bc-8bec-fe63f0338dbc"/>
    <ds:schemaRef ds:uri="8592f80c-bea2-48d4-82d1-7ec118786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 Dehydrator Sizing-Imperial</vt:lpstr>
      <vt:lpstr>BD Dehydrator Sizing-Metric </vt:lpstr>
      <vt:lpstr>Revision Log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DiMaiolo</dc:creator>
  <cp:lastModifiedBy>Jim DiMaiolo</cp:lastModifiedBy>
  <dcterms:created xsi:type="dcterms:W3CDTF">2022-03-11T14:43:53Z</dcterms:created>
  <dcterms:modified xsi:type="dcterms:W3CDTF">2022-07-26T03:00:00Z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0x010100D474BD364913A945A40C2D7356443C2A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